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Tobi\Downloads\fAInance\Tools\"/>
    </mc:Choice>
  </mc:AlternateContent>
  <xr:revisionPtr revIDLastSave="0" documentId="13_ncr:1_{76DA1981-E325-4A1C-A9BF-5FB74CD6EE5C}" xr6:coauthVersionLast="47" xr6:coauthVersionMax="47" xr10:uidLastSave="{00000000-0000-0000-0000-000000000000}"/>
  <bookViews>
    <workbookView xWindow="-120" yWindow="-120" windowWidth="29040" windowHeight="15840" xr2:uid="{FDEFFAF8-FB72-447D-990A-5E741A76C9CD}"/>
  </bookViews>
  <sheets>
    <sheet name="Dashboard" sheetId="2" r:id="rId1"/>
    <sheet name="Haushaltsbuch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0" i="1" l="1"/>
  <c r="D18" i="1" l="1"/>
  <c r="E18" i="1"/>
  <c r="F18" i="1"/>
  <c r="G18" i="1"/>
  <c r="H18" i="1"/>
  <c r="I18" i="1"/>
  <c r="J18" i="1"/>
  <c r="K18" i="1"/>
  <c r="L18" i="1"/>
  <c r="M18" i="1"/>
  <c r="N18" i="1"/>
  <c r="C18" i="1"/>
  <c r="D31" i="1"/>
  <c r="E31" i="1"/>
  <c r="F31" i="1"/>
  <c r="G31" i="1"/>
  <c r="H31" i="1"/>
  <c r="I31" i="1"/>
  <c r="J31" i="1"/>
  <c r="K31" i="1"/>
  <c r="L31" i="1"/>
  <c r="M31" i="1"/>
  <c r="N31" i="1"/>
  <c r="C31" i="1"/>
  <c r="D47" i="1"/>
  <c r="E47" i="1"/>
  <c r="F47" i="1"/>
  <c r="G47" i="1"/>
  <c r="H47" i="1"/>
  <c r="I47" i="1"/>
  <c r="J47" i="1"/>
  <c r="K47" i="1"/>
  <c r="L47" i="1"/>
  <c r="M47" i="1"/>
  <c r="N47" i="1"/>
  <c r="C47" i="1"/>
  <c r="D55" i="1"/>
  <c r="E55" i="1"/>
  <c r="F55" i="1"/>
  <c r="G55" i="1"/>
  <c r="H55" i="1"/>
  <c r="I55" i="1"/>
  <c r="J55" i="1"/>
  <c r="K55" i="1"/>
  <c r="L55" i="1"/>
  <c r="M55" i="1"/>
  <c r="N55" i="1"/>
  <c r="C55" i="1"/>
  <c r="D62" i="1"/>
  <c r="E62" i="1"/>
  <c r="F62" i="1"/>
  <c r="G62" i="1"/>
  <c r="H62" i="1"/>
  <c r="I62" i="1"/>
  <c r="J62" i="1"/>
  <c r="K62" i="1"/>
  <c r="L62" i="1"/>
  <c r="M62" i="1"/>
  <c r="N62" i="1"/>
  <c r="C62" i="1"/>
  <c r="D71" i="1"/>
  <c r="E71" i="1"/>
  <c r="F71" i="1"/>
  <c r="G71" i="1"/>
  <c r="H71" i="1"/>
  <c r="I71" i="1"/>
  <c r="J71" i="1"/>
  <c r="K71" i="1"/>
  <c r="L71" i="1"/>
  <c r="M71" i="1"/>
  <c r="N71" i="1"/>
  <c r="C71" i="1"/>
  <c r="D88" i="1"/>
  <c r="E88" i="1"/>
  <c r="F88" i="1"/>
  <c r="G88" i="1"/>
  <c r="H88" i="1"/>
  <c r="I88" i="1"/>
  <c r="J88" i="1"/>
  <c r="K88" i="1"/>
  <c r="L88" i="1"/>
  <c r="M88" i="1"/>
  <c r="N88" i="1"/>
  <c r="C88" i="1"/>
  <c r="D101" i="1"/>
  <c r="E101" i="1"/>
  <c r="F101" i="1"/>
  <c r="G101" i="1"/>
  <c r="H101" i="1"/>
  <c r="I101" i="1"/>
  <c r="J101" i="1"/>
  <c r="K101" i="1"/>
  <c r="L101" i="1"/>
  <c r="M101" i="1"/>
  <c r="N101" i="1"/>
  <c r="C101" i="1"/>
  <c r="D108" i="1"/>
  <c r="E108" i="1"/>
  <c r="F108" i="1"/>
  <c r="G108" i="1"/>
  <c r="H108" i="1"/>
  <c r="I108" i="1"/>
  <c r="J108" i="1"/>
  <c r="K108" i="1"/>
  <c r="L108" i="1"/>
  <c r="M108" i="1"/>
  <c r="N108" i="1"/>
  <c r="C108" i="1"/>
  <c r="D116" i="1"/>
  <c r="E116" i="1"/>
  <c r="F116" i="1"/>
  <c r="G116" i="1"/>
  <c r="H116" i="1"/>
  <c r="I116" i="1"/>
  <c r="J116" i="1"/>
  <c r="K116" i="1"/>
  <c r="L116" i="1"/>
  <c r="M116" i="1"/>
  <c r="N116" i="1"/>
  <c r="C116" i="1"/>
  <c r="O60" i="1"/>
  <c r="N61" i="1"/>
  <c r="M61" i="1"/>
  <c r="L61" i="1"/>
  <c r="K61" i="1"/>
  <c r="J61" i="1"/>
  <c r="I61" i="1"/>
  <c r="H61" i="1"/>
  <c r="G61" i="1"/>
  <c r="F61" i="1"/>
  <c r="E61" i="1"/>
  <c r="D61" i="1"/>
  <c r="C61" i="1"/>
  <c r="O59" i="1"/>
  <c r="V63" i="1"/>
  <c r="V139" i="1"/>
  <c r="O62" i="1" l="1"/>
  <c r="O61" i="1"/>
  <c r="V25" i="1"/>
  <c r="V26" i="1"/>
  <c r="V27" i="1"/>
  <c r="V28" i="1"/>
  <c r="V29" i="1"/>
  <c r="V30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8" i="1"/>
  <c r="V49" i="1"/>
  <c r="V50" i="1"/>
  <c r="V51" i="1"/>
  <c r="V52" i="1"/>
  <c r="V53" i="1"/>
  <c r="V54" i="1"/>
  <c r="V64" i="1"/>
  <c r="V65" i="1"/>
  <c r="V66" i="1"/>
  <c r="V67" i="1"/>
  <c r="V68" i="1"/>
  <c r="V69" i="1"/>
  <c r="V70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9" i="1"/>
  <c r="V90" i="1"/>
  <c r="V91" i="1"/>
  <c r="V92" i="1"/>
  <c r="V93" i="1"/>
  <c r="V94" i="1"/>
  <c r="V95" i="1"/>
  <c r="V96" i="1"/>
  <c r="V97" i="1"/>
  <c r="V98" i="1"/>
  <c r="V99" i="1"/>
  <c r="V100" i="1"/>
  <c r="V102" i="1"/>
  <c r="V103" i="1"/>
  <c r="V104" i="1"/>
  <c r="V105" i="1"/>
  <c r="V106" i="1"/>
  <c r="V107" i="1"/>
  <c r="V109" i="1"/>
  <c r="V110" i="1"/>
  <c r="V111" i="1"/>
  <c r="V112" i="1"/>
  <c r="V113" i="1"/>
  <c r="V114" i="1"/>
  <c r="V115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2" i="1"/>
  <c r="V133" i="1"/>
  <c r="V135" i="1"/>
  <c r="V136" i="1"/>
  <c r="V137" i="1"/>
  <c r="V140" i="1"/>
  <c r="V141" i="1"/>
  <c r="V142" i="1"/>
  <c r="V23" i="1"/>
  <c r="V24" i="1"/>
  <c r="T4" i="1"/>
  <c r="S4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0" i="1"/>
  <c r="O121" i="1"/>
  <c r="O122" i="1"/>
  <c r="O123" i="1"/>
  <c r="O124" i="1"/>
  <c r="O125" i="1"/>
  <c r="O126" i="1"/>
  <c r="O127" i="1"/>
  <c r="O112" i="1"/>
  <c r="O113" i="1"/>
  <c r="O114" i="1"/>
  <c r="O105" i="1"/>
  <c r="O106" i="1"/>
  <c r="O95" i="1"/>
  <c r="O96" i="1"/>
  <c r="O97" i="1"/>
  <c r="O98" i="1"/>
  <c r="O99" i="1"/>
  <c r="O75" i="1"/>
  <c r="O76" i="1"/>
  <c r="O77" i="1"/>
  <c r="O78" i="1"/>
  <c r="O79" i="1"/>
  <c r="O80" i="1"/>
  <c r="O81" i="1"/>
  <c r="O82" i="1"/>
  <c r="O83" i="1"/>
  <c r="O84" i="1"/>
  <c r="O85" i="1"/>
  <c r="O86" i="1"/>
  <c r="O66" i="1"/>
  <c r="O67" i="1"/>
  <c r="O68" i="1"/>
  <c r="O69" i="1"/>
  <c r="O51" i="1"/>
  <c r="O52" i="1"/>
  <c r="O53" i="1"/>
  <c r="O35" i="1"/>
  <c r="O36" i="1"/>
  <c r="O37" i="1"/>
  <c r="O38" i="1"/>
  <c r="O39" i="1"/>
  <c r="O40" i="1"/>
  <c r="O41" i="1"/>
  <c r="O42" i="1"/>
  <c r="O43" i="1"/>
  <c r="O44" i="1"/>
  <c r="O45" i="1"/>
  <c r="O24" i="1"/>
  <c r="O25" i="1"/>
  <c r="O26" i="1"/>
  <c r="O27" i="1"/>
  <c r="O28" i="1"/>
  <c r="O29" i="1"/>
  <c r="O100" i="1" l="1"/>
  <c r="O87" i="1"/>
  <c r="C149" i="1"/>
  <c r="O55" i="1"/>
  <c r="O31" i="1"/>
  <c r="O47" i="1"/>
  <c r="O71" i="1"/>
  <c r="O101" i="1"/>
  <c r="O88" i="1"/>
  <c r="O108" i="1"/>
  <c r="O116" i="1"/>
  <c r="V4" i="1"/>
  <c r="O129" i="1"/>
  <c r="O128" i="1" l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N87" i="1"/>
  <c r="M87" i="1"/>
  <c r="L87" i="1"/>
  <c r="K87" i="1"/>
  <c r="J87" i="1"/>
  <c r="I87" i="1"/>
  <c r="H87" i="1"/>
  <c r="G87" i="1"/>
  <c r="F87" i="1"/>
  <c r="E87" i="1"/>
  <c r="D87" i="1"/>
  <c r="C87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D30" i="1"/>
  <c r="E30" i="1"/>
  <c r="F30" i="1"/>
  <c r="G30" i="1"/>
  <c r="H30" i="1"/>
  <c r="I30" i="1"/>
  <c r="J30" i="1"/>
  <c r="K30" i="1"/>
  <c r="L30" i="1"/>
  <c r="M30" i="1"/>
  <c r="N30" i="1"/>
  <c r="O30" i="1"/>
  <c r="C30" i="1"/>
  <c r="O9" i="1"/>
  <c r="O10" i="1"/>
  <c r="O11" i="1"/>
  <c r="O12" i="1"/>
  <c r="O13" i="1"/>
  <c r="O14" i="1"/>
  <c r="O15" i="1"/>
  <c r="O16" i="1"/>
  <c r="D17" i="1"/>
  <c r="D135" i="1" s="1"/>
  <c r="E17" i="1"/>
  <c r="E135" i="1" s="1"/>
  <c r="F17" i="1"/>
  <c r="F135" i="1" s="1"/>
  <c r="G17" i="1"/>
  <c r="G135" i="1" s="1"/>
  <c r="H17" i="1"/>
  <c r="H135" i="1" s="1"/>
  <c r="I17" i="1"/>
  <c r="I135" i="1" s="1"/>
  <c r="J17" i="1"/>
  <c r="J135" i="1" s="1"/>
  <c r="K17" i="1"/>
  <c r="K135" i="1" s="1"/>
  <c r="L17" i="1"/>
  <c r="L135" i="1" s="1"/>
  <c r="M17" i="1"/>
  <c r="M135" i="1" s="1"/>
  <c r="N17" i="1"/>
  <c r="N135" i="1" s="1"/>
  <c r="C17" i="1"/>
  <c r="C135" i="1" s="1"/>
  <c r="C148" i="1" l="1"/>
  <c r="O18" i="1"/>
  <c r="C147" i="1"/>
  <c r="H137" i="1"/>
  <c r="N136" i="1"/>
  <c r="F136" i="1"/>
  <c r="I136" i="1"/>
  <c r="L136" i="1"/>
  <c r="D136" i="1"/>
  <c r="G136" i="1"/>
  <c r="K137" i="1"/>
  <c r="N137" i="1"/>
  <c r="E137" i="1"/>
  <c r="M137" i="1"/>
  <c r="O136" i="1"/>
  <c r="C137" i="1"/>
  <c r="F137" i="1"/>
  <c r="H136" i="1"/>
  <c r="C136" i="1"/>
  <c r="D137" i="1"/>
  <c r="L137" i="1"/>
  <c r="M136" i="1"/>
  <c r="E136" i="1"/>
  <c r="K136" i="1"/>
  <c r="G137" i="1"/>
  <c r="J136" i="1"/>
  <c r="I137" i="1"/>
  <c r="J137" i="1"/>
  <c r="O17" i="1"/>
  <c r="O135" i="1" l="1"/>
  <c r="D149" i="1" s="1"/>
  <c r="D148" i="1"/>
  <c r="M138" i="1"/>
  <c r="M140" i="1" s="1"/>
  <c r="M141" i="1" s="1"/>
  <c r="M142" i="1" s="1"/>
  <c r="N138" i="1"/>
  <c r="N140" i="1" s="1"/>
  <c r="N141" i="1" s="1"/>
  <c r="N142" i="1" s="1"/>
  <c r="C138" i="1"/>
  <c r="C140" i="1" s="1"/>
  <c r="C141" i="1" s="1"/>
  <c r="C142" i="1" s="1"/>
  <c r="F138" i="1"/>
  <c r="F140" i="1" s="1"/>
  <c r="F141" i="1" s="1"/>
  <c r="F142" i="1" s="1"/>
  <c r="E138" i="1"/>
  <c r="E140" i="1" s="1"/>
  <c r="E141" i="1" s="1"/>
  <c r="E142" i="1" s="1"/>
  <c r="I138" i="1"/>
  <c r="I140" i="1" s="1"/>
  <c r="I141" i="1" s="1"/>
  <c r="I142" i="1" s="1"/>
  <c r="H138" i="1"/>
  <c r="H140" i="1" s="1"/>
  <c r="H141" i="1" s="1"/>
  <c r="H142" i="1" s="1"/>
  <c r="G138" i="1"/>
  <c r="G140" i="1" s="1"/>
  <c r="G141" i="1" s="1"/>
  <c r="G142" i="1" s="1"/>
  <c r="D138" i="1"/>
  <c r="D140" i="1" s="1"/>
  <c r="D141" i="1" s="1"/>
  <c r="D142" i="1" s="1"/>
  <c r="J138" i="1"/>
  <c r="J140" i="1" s="1"/>
  <c r="J141" i="1" s="1"/>
  <c r="J142" i="1" s="1"/>
  <c r="K138" i="1"/>
  <c r="K140" i="1" s="1"/>
  <c r="K141" i="1" s="1"/>
  <c r="K142" i="1" s="1"/>
  <c r="L138" i="1"/>
  <c r="L140" i="1" s="1"/>
  <c r="L141" i="1" s="1"/>
  <c r="L142" i="1" s="1"/>
  <c r="C146" i="1"/>
  <c r="C150" i="1" s="1"/>
  <c r="O137" i="1"/>
  <c r="D147" i="1" l="1"/>
  <c r="O138" i="1"/>
  <c r="P122" i="1" s="1"/>
  <c r="D146" i="1"/>
  <c r="D150" i="1" s="1"/>
  <c r="P113" i="1"/>
  <c r="P61" i="1"/>
  <c r="P52" i="1"/>
  <c r="P60" i="1"/>
  <c r="P84" i="1"/>
  <c r="P76" i="1"/>
  <c r="P68" i="1"/>
  <c r="P124" i="1"/>
  <c r="P54" i="1"/>
  <c r="P105" i="1"/>
  <c r="P42" i="1"/>
  <c r="P80" i="1"/>
  <c r="P59" i="1"/>
  <c r="P26" i="1"/>
  <c r="P36" i="1"/>
  <c r="P71" i="1"/>
  <c r="P31" i="1"/>
  <c r="P69" i="1"/>
  <c r="P47" i="1"/>
  <c r="P125" i="1"/>
  <c r="P107" i="1"/>
  <c r="P115" i="1"/>
  <c r="P45" i="1"/>
  <c r="P82" i="1"/>
  <c r="O140" i="1"/>
  <c r="O141" i="1" s="1"/>
  <c r="O142" i="1" s="1"/>
  <c r="P106" i="1"/>
  <c r="P108" i="1"/>
  <c r="P70" i="1"/>
  <c r="P79" i="1"/>
  <c r="P40" i="1"/>
  <c r="P126" i="1"/>
  <c r="P39" i="1"/>
  <c r="P51" i="1"/>
  <c r="P77" i="1"/>
  <c r="P67" i="1"/>
  <c r="P120" i="1"/>
  <c r="P112" i="1"/>
  <c r="P25" i="1"/>
  <c r="P129" i="1"/>
  <c r="P83" i="1"/>
  <c r="P46" i="1"/>
  <c r="P123" i="1" l="1"/>
  <c r="P136" i="1"/>
  <c r="P85" i="1"/>
  <c r="P98" i="1"/>
  <c r="P62" i="1"/>
  <c r="P24" i="1"/>
  <c r="P27" i="1"/>
  <c r="P38" i="1"/>
  <c r="P87" i="1"/>
  <c r="P114" i="1"/>
  <c r="P121" i="1"/>
  <c r="P96" i="1"/>
  <c r="P95" i="1"/>
  <c r="P75" i="1"/>
  <c r="P86" i="1"/>
  <c r="P99" i="1"/>
  <c r="P37" i="1"/>
  <c r="P88" i="1"/>
  <c r="P100" i="1"/>
  <c r="P116" i="1"/>
  <c r="P78" i="1"/>
  <c r="P43" i="1"/>
  <c r="P35" i="1"/>
  <c r="P41" i="1"/>
  <c r="P127" i="1"/>
  <c r="P81" i="1"/>
  <c r="P97" i="1"/>
  <c r="P53" i="1"/>
  <c r="P55" i="1"/>
  <c r="P30" i="1"/>
  <c r="P28" i="1"/>
  <c r="P128" i="1"/>
  <c r="P66" i="1"/>
  <c r="P101" i="1"/>
  <c r="P44" i="1"/>
  <c r="P29" i="1"/>
  <c r="P137" i="1"/>
</calcChain>
</file>

<file path=xl/sharedStrings.xml><?xml version="1.0" encoding="utf-8"?>
<sst xmlns="http://schemas.openxmlformats.org/spreadsheetml/2006/main" count="277" uniqueCount="119">
  <si>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</si>
  <si>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</si>
  <si>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</si>
  <si>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</si>
  <si>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</si>
  <si>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</si>
  <si>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</si>
  <si>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</si>
  <si>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</si>
  <si>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</si>
  <si>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</si>
  <si>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</si>
  <si>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</si>
  <si>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Einnahmen</t>
  </si>
  <si>
    <t>Gehalt</t>
  </si>
  <si>
    <t>Kindergeld</t>
  </si>
  <si>
    <t>Boni</t>
  </si>
  <si>
    <t>Nebenjob</t>
  </si>
  <si>
    <t>Zuschüsse</t>
  </si>
  <si>
    <t>Investments</t>
  </si>
  <si>
    <t>Steuerrückzahlungen</t>
  </si>
  <si>
    <t>Sonstige</t>
  </si>
  <si>
    <t>Gesamte Einnahmen</t>
  </si>
  <si>
    <t>Fixe Ausgaben</t>
  </si>
  <si>
    <t>Wohnen</t>
  </si>
  <si>
    <t>Strom</t>
  </si>
  <si>
    <t>Heizkosten</t>
  </si>
  <si>
    <t>Rundfunkbeitrag</t>
  </si>
  <si>
    <t>Einkommensart</t>
  </si>
  <si>
    <t>Gesamte Wohnkosten</t>
  </si>
  <si>
    <t>Internet &amp; Telefon</t>
  </si>
  <si>
    <t>Fernsehen</t>
  </si>
  <si>
    <t>Versicherungen</t>
  </si>
  <si>
    <t>Privathaftpflicht</t>
  </si>
  <si>
    <t>Kfz-Versicherung</t>
  </si>
  <si>
    <t>Berufsunfähigkeit</t>
  </si>
  <si>
    <t>Rechtsschutz</t>
  </si>
  <si>
    <t>Hausrat</t>
  </si>
  <si>
    <t>Lebensversicherung</t>
  </si>
  <si>
    <t>Unfallversicherung</t>
  </si>
  <si>
    <t>Wohngebäude</t>
  </si>
  <si>
    <t>Risikolebensversicherung</t>
  </si>
  <si>
    <t>Bausparvertrag</t>
  </si>
  <si>
    <t>Notiz</t>
  </si>
  <si>
    <t>Sparpotenzial</t>
  </si>
  <si>
    <t>Sparbetrag</t>
  </si>
  <si>
    <t>Sparmaßnahme</t>
  </si>
  <si>
    <t>Sparpläne</t>
  </si>
  <si>
    <t>Einmalzahlungen</t>
  </si>
  <si>
    <t>Finanzierungen</t>
  </si>
  <si>
    <t>Hausfinanzierung</t>
  </si>
  <si>
    <t>Autokredit</t>
  </si>
  <si>
    <t>Leasing</t>
  </si>
  <si>
    <t>Konsumkredit</t>
  </si>
  <si>
    <t>Abos (z.B. Netflix etc.)</t>
  </si>
  <si>
    <t>Mitgliedschaften (z.B. ADAC)</t>
  </si>
  <si>
    <t>Kfz-Steuer</t>
  </si>
  <si>
    <t>Medikamente</t>
  </si>
  <si>
    <t>Friseur</t>
  </si>
  <si>
    <t>Rauchen</t>
  </si>
  <si>
    <t>Haustiere</t>
  </si>
  <si>
    <t>Spenden</t>
  </si>
  <si>
    <t>Kindertagesstätte</t>
  </si>
  <si>
    <t>Sonstige Fixkosten</t>
  </si>
  <si>
    <t>Handyflat</t>
  </si>
  <si>
    <t>Kontoführungsgebühren</t>
  </si>
  <si>
    <t>Gesamte Versicherungskosten</t>
  </si>
  <si>
    <t>Gesamte Investmentkosten</t>
  </si>
  <si>
    <t>Gesamte Finanzierungskosten</t>
  </si>
  <si>
    <t>Gesamte Sonstige Fixkosten</t>
  </si>
  <si>
    <t>Variable Ausgaben</t>
  </si>
  <si>
    <t>Lebenshaltung</t>
  </si>
  <si>
    <t>Gesamte Lebenshaltungskosten</t>
  </si>
  <si>
    <t>Lebensmittel</t>
  </si>
  <si>
    <t>Haushalt</t>
  </si>
  <si>
    <t>Kleidung</t>
  </si>
  <si>
    <t>Sonstiges</t>
  </si>
  <si>
    <t>Mobilität</t>
  </si>
  <si>
    <t>Gesamte Mobilitätskosten</t>
  </si>
  <si>
    <t>Fahrtkosten</t>
  </si>
  <si>
    <t>Instandhaltung</t>
  </si>
  <si>
    <t>Ausgehen (Restaurant, Kino etc.)</t>
  </si>
  <si>
    <t>Urlaub</t>
  </si>
  <si>
    <t>Andere Freizeitaktivitäten</t>
  </si>
  <si>
    <t>Gesamte Entertainmentkosten</t>
  </si>
  <si>
    <t>Entertainment</t>
  </si>
  <si>
    <t>Sonstige Variable Kosten</t>
  </si>
  <si>
    <t>Gesamte Sonstige Variable Kosten</t>
  </si>
  <si>
    <t>Hobby</t>
  </si>
  <si>
    <t>Geschenke</t>
  </si>
  <si>
    <t>Bildung</t>
  </si>
  <si>
    <t>Steuernachzahlungen</t>
  </si>
  <si>
    <t>Reparaturen</t>
  </si>
  <si>
    <t>Cashflow</t>
  </si>
  <si>
    <t>Mein Haushaltsbuch</t>
  </si>
  <si>
    <t>fainance.de</t>
  </si>
  <si>
    <t>Warmmiete</t>
  </si>
  <si>
    <t>Tanken/ÖPNV</t>
  </si>
  <si>
    <t>Shopping</t>
  </si>
  <si>
    <t>Gesundheit und Pflege</t>
  </si>
  <si>
    <t>Durchschnitt</t>
  </si>
  <si>
    <t>Sparquote</t>
  </si>
  <si>
    <t>Sparziel</t>
  </si>
  <si>
    <t>Differenz</t>
  </si>
  <si>
    <t>Gesamtausgaben</t>
  </si>
  <si>
    <t>Vermögenskonto</t>
  </si>
  <si>
    <t>Freizeitkonto</t>
  </si>
  <si>
    <t>Basiskonto</t>
  </si>
  <si>
    <t>Sparkonto</t>
  </si>
  <si>
    <t>Sparen</t>
  </si>
  <si>
    <t>Konsumwünsche</t>
  </si>
  <si>
    <t>Gesamte Sparkosten</t>
  </si>
  <si>
    <t>%</t>
  </si>
  <si>
    <t>Wert</t>
  </si>
  <si>
    <t>Aktuell %</t>
  </si>
  <si>
    <t>Empfohlen %</t>
  </si>
  <si>
    <t>4-Konten-Modell</t>
  </si>
  <si>
    <t>Gesamtergebnis</t>
  </si>
  <si>
    <t>Übersicht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</si>
</sst>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\ &quot;€&quot;"/>
    <numFmt numFmtId="165" formatCode="0.0%"/>
    <numFmt numFmtId="166" formatCode="#,##0\ &quot;€&quot;"/>
  </numFmts>
  <fonts count="1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6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2"/>
      <color theme="10"/>
      <name val="Aptos Narrow"/>
      <family val="2"/>
      <scheme val="minor"/>
    </font>
    <font>
      <b/>
      <sz val="20"/>
      <color theme="9" tint="-0.249977111117893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sz val="20"/>
      <color rgb="FFD20000"/>
      <name val="Aptos Narrow"/>
      <family val="2"/>
      <scheme val="minor"/>
    </font>
    <font>
      <b/>
      <sz val="20"/>
      <color theme="4" tint="-0.249977111117893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E0000"/>
        <bgColor theme="5"/>
      </patternFill>
    </fill>
    <fill>
      <patternFill patternType="solid">
        <fgColor theme="4" tint="-0.249977111117893"/>
        <bgColor theme="9"/>
      </patternFill>
    </fill>
    <fill>
      <patternFill patternType="solid">
        <fgColor rgb="FF17678B"/>
        <bgColor theme="9"/>
      </patternFill>
    </fill>
    <fill>
      <patternFill patternType="solid">
        <fgColor rgb="FF001C37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920000"/>
        <bgColor theme="5"/>
      </patternFill>
    </fill>
    <fill>
      <patternFill patternType="solid">
        <fgColor rgb="FFD20000"/>
        <bgColor theme="5"/>
      </patternFill>
    </fill>
    <fill>
      <patternFill patternType="solid">
        <fgColor rgb="FFD20000"/>
        <bgColor rgb="FFFF0000"/>
      </patternFill>
    </fill>
  </fills>
  <borders count="9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/>
      <bottom style="dotted">
        <color theme="0" tint="-0.249977111117893"/>
      </bottom>
      <diagonal/>
    </border>
    <border>
      <left/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theme="0"/>
      </left>
      <right/>
      <top style="thick">
        <color theme="0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 indent="1"/>
    </xf>
    <xf numFmtId="164" fontId="0" fillId="0" borderId="0" xfId="0" applyNumberFormat="1"/>
    <xf numFmtId="0" fontId="2" fillId="0" borderId="0" xfId="0" applyFont="1"/>
    <xf numFmtId="0" fontId="1" fillId="2" borderId="3" xfId="0" applyFont="1" applyFill="1" applyBorder="1" applyAlignment="1">
      <alignment horizontal="left" indent="1"/>
    </xf>
    <xf numFmtId="164" fontId="1" fillId="2" borderId="4" xfId="0" applyNumberFormat="1" applyFont="1" applyFill="1" applyBorder="1"/>
    <xf numFmtId="0" fontId="1" fillId="4" borderId="3" xfId="0" applyFont="1" applyFill="1" applyBorder="1" applyAlignment="1">
      <alignment horizontal="left" indent="1"/>
    </xf>
    <xf numFmtId="164" fontId="1" fillId="4" borderId="4" xfId="0" applyNumberFormat="1" applyFont="1" applyFill="1" applyBorder="1"/>
    <xf numFmtId="0" fontId="1" fillId="5" borderId="3" xfId="0" applyFont="1" applyFill="1" applyBorder="1" applyAlignment="1">
      <alignment horizontal="left" indent="1"/>
    </xf>
    <xf numFmtId="164" fontId="1" fillId="5" borderId="4" xfId="0" applyNumberFormat="1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164" fontId="0" fillId="6" borderId="0" xfId="0" applyNumberFormat="1" applyFill="1" applyAlignment="1">
      <alignment horizontal="center"/>
    </xf>
    <xf numFmtId="0" fontId="0" fillId="6" borderId="0" xfId="0" applyFill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6" borderId="0" xfId="0" applyFont="1" applyFill="1" applyAlignment="1">
      <alignment horizontal="center"/>
    </xf>
    <xf numFmtId="0" fontId="6" fillId="0" borderId="0" xfId="1" applyFont="1"/>
    <xf numFmtId="0" fontId="7" fillId="0" borderId="0" xfId="0" applyFont="1"/>
    <xf numFmtId="0" fontId="1" fillId="3" borderId="1" xfId="0" applyFont="1" applyFill="1" applyBorder="1" applyAlignment="1">
      <alignment horizontal="left" indent="2"/>
    </xf>
    <xf numFmtId="164" fontId="8" fillId="3" borderId="2" xfId="0" applyNumberFormat="1" applyFont="1" applyFill="1" applyBorder="1"/>
    <xf numFmtId="165" fontId="1" fillId="5" borderId="4" xfId="0" applyNumberFormat="1" applyFont="1" applyFill="1" applyBorder="1"/>
    <xf numFmtId="9" fontId="0" fillId="0" borderId="0" xfId="2" applyFont="1"/>
    <xf numFmtId="166" fontId="1" fillId="2" borderId="4" xfId="0" applyNumberFormat="1" applyFont="1" applyFill="1" applyBorder="1"/>
    <xf numFmtId="166" fontId="1" fillId="3" borderId="2" xfId="0" applyNumberFormat="1" applyFont="1" applyFill="1" applyBorder="1"/>
    <xf numFmtId="166" fontId="0" fillId="0" borderId="0" xfId="0" applyNumberFormat="1"/>
    <xf numFmtId="166" fontId="1" fillId="4" borderId="4" xfId="0" applyNumberFormat="1" applyFont="1" applyFill="1" applyBorder="1"/>
    <xf numFmtId="166" fontId="1" fillId="5" borderId="4" xfId="0" applyNumberFormat="1" applyFont="1" applyFill="1" applyBorder="1"/>
    <xf numFmtId="0" fontId="1" fillId="2" borderId="3" xfId="0" applyFont="1" applyFill="1" applyBorder="1" applyAlignment="1">
      <alignment horizontal="left"/>
    </xf>
    <xf numFmtId="9" fontId="1" fillId="3" borderId="2" xfId="2" applyFont="1" applyFill="1" applyBorder="1"/>
    <xf numFmtId="165" fontId="0" fillId="0" borderId="0" xfId="2" applyNumberFormat="1" applyFont="1"/>
    <xf numFmtId="165" fontId="9" fillId="0" borderId="0" xfId="0" applyNumberFormat="1" applyFont="1"/>
    <xf numFmtId="0" fontId="1" fillId="7" borderId="3" xfId="0" applyFont="1" applyFill="1" applyBorder="1"/>
    <xf numFmtId="164" fontId="1" fillId="7" borderId="4" xfId="0" applyNumberFormat="1" applyFont="1" applyFill="1" applyBorder="1"/>
    <xf numFmtId="165" fontId="1" fillId="7" borderId="8" xfId="2" applyNumberFormat="1" applyFont="1" applyFill="1" applyBorder="1"/>
    <xf numFmtId="0" fontId="10" fillId="0" borderId="0" xfId="0" applyFont="1"/>
    <xf numFmtId="0" fontId="1" fillId="8" borderId="1" xfId="0" applyFont="1" applyFill="1" applyBorder="1" applyAlignment="1">
      <alignment horizontal="left" indent="1"/>
    </xf>
    <xf numFmtId="164" fontId="1" fillId="8" borderId="2" xfId="0" applyNumberFormat="1" applyFont="1" applyFill="1" applyBorder="1"/>
    <xf numFmtId="166" fontId="1" fillId="8" borderId="2" xfId="0" applyNumberFormat="1" applyFont="1" applyFill="1" applyBorder="1"/>
    <xf numFmtId="0" fontId="1" fillId="9" borderId="1" xfId="0" applyFont="1" applyFill="1" applyBorder="1" applyAlignment="1">
      <alignment horizontal="left" indent="2"/>
    </xf>
    <xf numFmtId="164" fontId="8" fillId="9" borderId="2" xfId="0" applyNumberFormat="1" applyFont="1" applyFill="1" applyBorder="1"/>
    <xf numFmtId="166" fontId="1" fillId="9" borderId="2" xfId="0" applyNumberFormat="1" applyFont="1" applyFill="1" applyBorder="1"/>
    <xf numFmtId="9" fontId="1" fillId="9" borderId="2" xfId="2" applyFont="1" applyFill="1" applyBorder="1"/>
    <xf numFmtId="0" fontId="11" fillId="0" borderId="0" xfId="0" applyFont="1"/>
    <xf numFmtId="0" fontId="1" fillId="10" borderId="3" xfId="0" applyFont="1" applyFill="1" applyBorder="1"/>
    <xf numFmtId="164" fontId="1" fillId="10" borderId="4" xfId="0" applyNumberFormat="1" applyFont="1" applyFill="1" applyBorder="1"/>
    <xf numFmtId="165" fontId="1" fillId="10" borderId="8" xfId="0" applyNumberFormat="1" applyFont="1" applyFill="1" applyBorder="1"/>
    <xf numFmtId="0" fontId="12" fillId="0" borderId="0" xfId="0" applyFont="1"/>
    <xf numFmtId="0" fontId="4" fillId="6" borderId="0" xfId="0" applyFont="1" applyFill="1" applyAlignment="1">
      <alignment horizontal="center" vertical="center"/>
    </xf>
  </cellXfs>
  <cellStyles count="3">
    <cellStyle name="Link" xfId="1" builtinId="8"/>
    <cellStyle name="Prozent" xfId="2" builtinId="5"/>
    <cellStyle name="Standard" xfId="0" builtinId="0"/>
  </cellStyles>
  <dxfs count="3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0.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0.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0.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64" formatCode="#,##0.00\ &quot;€&quot;"/>
    </dxf>
    <dxf>
      <numFmt numFmtId="166" formatCode="#,##0\ &quot;€&quot;"/>
    </dxf>
    <dxf>
      <alignment horizontal="left" vertical="bottom" textRotation="0" wrapText="0" relativeIndent="1" justifyLastLine="0" shrinkToFit="0" readingOrder="0"/>
    </dxf>
    <dxf>
      <numFmt numFmtId="165" formatCode="0.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alignment horizontal="left" vertical="bottom" textRotation="0" wrapText="0" relativeIndent="1" justifyLastLine="0" shrinkToFit="0" readingOrder="0"/>
    </dxf>
    <dxf>
      <numFmt numFmtId="165" formatCode="0.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alignment horizontal="left" vertical="bottom" textRotation="0" wrapText="0" relativeIndent="1" justifyLastLine="0" shrinkToFit="0" readingOrder="0"/>
    </dxf>
    <dxf>
      <numFmt numFmtId="165" formatCode="0.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alignment horizontal="left" vertical="bottom" textRotation="0" wrapText="0" relativeIndent="1" justifyLastLine="0" shrinkToFit="0" readingOrder="0"/>
    </dxf>
    <dxf>
      <numFmt numFmtId="165" formatCode="0.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alignment horizontal="left" vertical="bottom" textRotation="0" wrapText="0" relativeIndent="1" justifyLastLine="0" shrinkToFit="0" readingOrder="0"/>
    </dxf>
    <dxf>
      <numFmt numFmtId="165" formatCode="0.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alignment horizontal="left" vertical="bottom" textRotation="0" wrapText="0" relativeIndent="1" justifyLastLine="0" shrinkToFit="0" readingOrder="0"/>
    </dxf>
    <dxf>
      <numFmt numFmtId="165" formatCode="0.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alignment horizontal="left" vertical="bottom" textRotation="0" wrapText="0" relativeIndent="1" justifyLastLine="0" shrinkToFit="0" readingOrder="0"/>
    </dxf>
    <dxf>
      <numFmt numFmtId="165" formatCode="0.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alignment horizontal="left" vertical="bottom" textRotation="0" wrapText="0" relativeIndent="1" justifyLastLine="0" shrinkToFit="0" readingOrder="0"/>
    </dxf>
    <dxf>
      <numFmt numFmtId="165" formatCode="0.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alignment horizontal="left" vertical="bottom" textRotation="0" wrapText="0" relativeIndent="1" justifyLastLine="0" shrinkToFit="0" readingOrder="0"/>
    </dxf>
    <dxf>
      <numFmt numFmtId="165" formatCode="0.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alignment horizontal="left" vertical="bottom" textRotation="0" wrapText="0" relativeIndent="1" justifyLastLine="0" shrinkToFit="0" readingOrder="0"/>
    </dxf>
    <dxf>
      <numFmt numFmtId="165" formatCode="0.0%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alignment horizontal="left" vertical="bottom" textRotation="0" wrapText="0" relativeIndent="1" justifyLastLine="0" shrinkToFit="0" readingOrder="0"/>
    </dxf>
    <dxf>
      <font>
        <color rgb="FFFF0000"/>
      </font>
    </dxf>
    <dxf>
      <font>
        <color rgb="FFFF0000"/>
      </font>
    </dxf>
    <dxf>
      <fill>
        <patternFill patternType="solid">
          <fgColor rgb="FFFF0000"/>
          <bgColor rgb="FFFF8181"/>
        </patternFill>
      </fill>
    </dxf>
    <dxf>
      <fill>
        <patternFill>
          <bgColor rgb="FFFFBDBD"/>
        </patternFill>
      </fill>
    </dxf>
    <dxf>
      <fill>
        <patternFill patternType="solid">
          <fgColor rgb="FFFF8181"/>
          <bgColor rgb="FFFF8585"/>
        </patternFill>
      </fill>
    </dxf>
    <dxf>
      <font>
        <b/>
        <color theme="0"/>
      </font>
      <fill>
        <patternFill patternType="solid">
          <fgColor rgb="FFFF0000"/>
          <bgColor rgb="FFD20000"/>
        </patternFill>
      </fill>
    </dxf>
    <dxf>
      <font>
        <b/>
        <color theme="0"/>
      </font>
      <fill>
        <patternFill patternType="solid">
          <fgColor rgb="FFFF0000"/>
          <bgColor rgb="FFD20000"/>
        </patternFill>
      </fill>
    </dxf>
    <dxf>
      <font>
        <b/>
        <color theme="0"/>
      </font>
      <fill>
        <patternFill patternType="solid">
          <fgColor rgb="FFFF0000"/>
          <bgColor rgb="FFD20000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rgb="FFFF0000"/>
          <bgColor rgb="FFD20000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rgb="FFFF8181"/>
          <bgColor rgb="FFFF8585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 patternType="solid">
          <fgColor rgb="FFFF0000"/>
          <bgColor rgb="FFFF8181"/>
        </patternFill>
      </fill>
    </dxf>
    <dxf>
      <fill>
        <patternFill>
          <bgColor rgb="FFFFCDCD"/>
        </patternFill>
      </fill>
    </dxf>
    <dxf>
      <fill>
        <patternFill patternType="solid">
          <fgColor rgb="FFFF8181"/>
          <bgColor rgb="FFFF9B9B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rgb="FFFF0000"/>
          <bgColor rgb="FFFF0000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rgb="FFFF8181"/>
          <bgColor rgb="FFFF9B9B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2" defaultTableStyle="TableStyleMedium30" defaultPivotStyle="PivotStyleLight16">
    <tableStyle name="TableStyleMedium29" pivot="0" count="8" xr9:uid="{214363B0-1EDA-4A2B-8866-D0DCD1D774C6}">
      <tableStyleElement type="wholeTable" dxfId="321"/>
      <tableStyleElement type="headerRow" dxfId="320"/>
      <tableStyleElement type="totalRow" dxfId="319"/>
      <tableStyleElement type="firstColumn" dxfId="318"/>
      <tableStyleElement type="lastColumn" dxfId="317"/>
      <tableStyleElement type="firstRowStripe" dxfId="316"/>
      <tableStyleElement type="secondRowStripe" dxfId="315"/>
      <tableStyleElement type="firstColumnStripe" dxfId="314"/>
    </tableStyle>
    <tableStyle name="TableStyleMedium30" pivot="0" count="8" xr9:uid="{028CFDE3-964A-4822-BB16-DC2E8117EFCD}">
      <tableStyleElement type="wholeTable" dxfId="313"/>
      <tableStyleElement type="headerRow" dxfId="312"/>
      <tableStyleElement type="totalRow" dxfId="311"/>
      <tableStyleElement type="firstColumn" dxfId="310"/>
      <tableStyleElement type="lastColumn" dxfId="309"/>
      <tableStyleElement type="firstRowStripe" dxfId="308"/>
      <tableStyleElement type="secondRowStripe" dxfId="307"/>
      <tableStyleElement type="firstColumnStripe" dxfId="306"/>
    </tableStyle>
  </tableStyles>
  <colors>
    <mruColors>
      <color rgb="FF7BDCB5"/>
      <color rgb="FFFF8585"/>
      <color rgb="FFFFBDBD"/>
      <color rgb="FFFFCDCD"/>
      <color rgb="FFFF9B9B"/>
      <color rgb="FFFF5D5D"/>
      <color rgb="FFFFC5C5"/>
      <color rgb="FFD20000"/>
      <color rgb="FF920000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rgbClr val="7BDCB5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Jahresübersicht</a:t>
            </a:r>
          </a:p>
        </c:rich>
      </c:tx>
      <c:layout>
        <c:manualLayout>
          <c:xMode val="edge"/>
          <c:yMode val="edge"/>
          <c:x val="0.43067911111111112"/>
          <c:y val="4.76190476190476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rgbClr val="7BDCB5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Haushaltsbuch!$B$135</c:f>
              <c:strCache>
                <c:ptCount val="1"/>
                <c:pt idx="0">
                  <c:v>Einnahmen</c:v>
                </c:pt>
              </c:strCache>
            </c:strRef>
          </c:tx>
          <c:spPr>
            <a:noFill/>
            <a:ln w="9525" cap="flat" cmpd="sng" algn="ctr">
              <a:solidFill>
                <a:schemeClr val="accent6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Haushaltsbuch!$C$8:$N$8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Haushaltsbuch!$C$135:$N$135</c:f>
              <c:numCache>
                <c:formatCode>#,##0.00\ "€"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B-4A6A-9190-79C31C48A2D2}"/>
            </c:ext>
          </c:extLst>
        </c:ser>
        <c:ser>
          <c:idx val="1"/>
          <c:order val="1"/>
          <c:tx>
            <c:v>Ausgaben</c:v>
          </c:tx>
          <c:spPr>
            <a:noFill/>
            <a:ln w="9525" cap="flat" cmpd="sng" algn="ctr">
              <a:solidFill>
                <a:srgbClr val="FF0000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Haushaltsbuch!$C$8:$N$8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Haushaltsbuch!$C$138:$N$138</c:f>
              <c:numCache>
                <c:formatCode>#,##0.00\ "€"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B-4A6A-9190-79C31C48A2D2}"/>
            </c:ext>
          </c:extLst>
        </c:ser>
        <c:ser>
          <c:idx val="2"/>
          <c:order val="2"/>
          <c:tx>
            <c:strRef>
              <c:f>Haushaltsbuch!$B$140</c:f>
              <c:strCache>
                <c:ptCount val="1"/>
                <c:pt idx="0">
                  <c:v>Cashflow</c:v>
                </c:pt>
              </c:strCache>
            </c:strRef>
          </c:tx>
          <c:spPr>
            <a:noFill/>
            <a:ln w="9525" cap="flat" cmpd="sng" algn="ctr">
              <a:solidFill>
                <a:schemeClr val="tx2">
                  <a:lumMod val="50000"/>
                  <a:lumOff val="50000"/>
                </a:schemeClr>
              </a:solidFill>
              <a:miter lim="800000"/>
            </a:ln>
            <a:effectLst>
              <a:glow rad="63500">
                <a:schemeClr val="accent3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Haushaltsbuch!$C$8:$N$8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Haushaltsbuch!$C$140:$N$140</c:f>
              <c:numCache>
                <c:formatCode>#,##0.00\ "€"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B-4A6A-9190-79C31C48A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263252720"/>
        <c:axId val="263253200"/>
      </c:barChart>
      <c:catAx>
        <c:axId val="26325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BDCB5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3253200"/>
        <c:crosses val="autoZero"/>
        <c:auto val="1"/>
        <c:lblAlgn val="ctr"/>
        <c:lblOffset val="100"/>
        <c:noMultiLvlLbl val="0"/>
      </c:catAx>
      <c:valAx>
        <c:axId val="26325320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BDCB5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6325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7BDCB5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rgbClr val="7BDCB5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rgbClr val="7BDCB5"/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rgbClr val="7BDCB5"/>
                </a:solidFill>
              </a:rPr>
              <a:t>Einnahmen</a:t>
            </a:r>
          </a:p>
        </c:rich>
      </c:tx>
      <c:layout>
        <c:manualLayout>
          <c:xMode val="edge"/>
          <c:yMode val="edge"/>
          <c:x val="0.45238200000000006"/>
          <c:y val="8.9385443579299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rgbClr val="7BDCB5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 w="9525" cap="flat" cmpd="sng" algn="ctr">
              <a:solidFill>
                <a:schemeClr val="accent6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Haushaltsbuch!$B$9:$B$16</c:f>
              <c:strCache>
                <c:ptCount val="8"/>
                <c:pt idx="0">
                  <c:v>Gehalt</c:v>
                </c:pt>
                <c:pt idx="1">
                  <c:v>Kindergeld</c:v>
                </c:pt>
                <c:pt idx="2">
                  <c:v>Boni</c:v>
                </c:pt>
                <c:pt idx="3">
                  <c:v>Nebenjob</c:v>
                </c:pt>
                <c:pt idx="4">
                  <c:v>Zuschüsse</c:v>
                </c:pt>
                <c:pt idx="5">
                  <c:v>Investments</c:v>
                </c:pt>
                <c:pt idx="6">
                  <c:v>Steuerrückzahlungen</c:v>
                </c:pt>
                <c:pt idx="7">
                  <c:v>Sonstige</c:v>
                </c:pt>
              </c:strCache>
            </c:strRef>
          </c:cat>
          <c:val>
            <c:numRef>
              <c:f>Haushaltsbuch!$O$9:$O$16</c:f>
              <c:numCache>
                <c:formatCode>#,##0.00\ "€"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6-4DA5-8304-86959DF88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50"/>
        <c:axId val="1962018528"/>
        <c:axId val="1962019488"/>
      </c:barChart>
      <c:catAx>
        <c:axId val="1962018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62019488"/>
        <c:crosses val="autoZero"/>
        <c:auto val="1"/>
        <c:lblAlgn val="ctr"/>
        <c:lblOffset val="100"/>
        <c:noMultiLvlLbl val="0"/>
      </c:catAx>
      <c:valAx>
        <c:axId val="1962019488"/>
        <c:scaling>
          <c:orientation val="minMax"/>
        </c:scaling>
        <c:delete val="0"/>
        <c:axPos val="t"/>
        <c:numFmt formatCode="#,##0.00\ &quot;€&quot;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62018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rgbClr val="FF7575">
                  <a:alpha val="25000"/>
                </a:srgbClr>
              </a:glow>
            </a:effectLst>
          </c:spPr>
          <c:invertIfNegative val="0"/>
          <c:dPt>
            <c:idx val="0"/>
            <c:invertIfNegative val="0"/>
            <c:bubble3D val="0"/>
            <c:explosion val="6"/>
            <c:spPr>
              <a:noFill/>
              <a:ln w="9525" cap="flat" cmpd="sng" algn="ctr">
                <a:solidFill>
                  <a:srgbClr val="FE0000"/>
                </a:solidFill>
                <a:miter lim="800000"/>
              </a:ln>
              <a:effectLst>
                <a:glow rad="63500">
                  <a:srgbClr val="FF7575">
                    <a:alpha val="25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1-762D-461F-BFE2-EFF39928A647}"/>
              </c:ext>
            </c:extLst>
          </c:dPt>
          <c:dPt>
            <c:idx val="1"/>
            <c:invertIfNegative val="0"/>
            <c:bubble3D val="0"/>
            <c:spPr>
              <a:noFill/>
              <a:ln w="9525" cap="flat" cmpd="sng" algn="ctr">
                <a:solidFill>
                  <a:srgbClr val="FF7575"/>
                </a:solidFill>
                <a:miter lim="800000"/>
              </a:ln>
              <a:effectLst>
                <a:glow rad="63500">
                  <a:srgbClr val="FF7575">
                    <a:alpha val="25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3-762D-461F-BFE2-EFF39928A6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7BDCB5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Haushaltsbuch!$B$136:$B$137</c:f>
              <c:strCache>
                <c:ptCount val="2"/>
                <c:pt idx="0">
                  <c:v>Fixe Ausgaben</c:v>
                </c:pt>
                <c:pt idx="1">
                  <c:v>Variable Ausgaben</c:v>
                </c:pt>
              </c:strCache>
            </c:strRef>
          </c:cat>
          <c:val>
            <c:numRef>
              <c:f>Haushaltsbuch!$O$136:$O$137</c:f>
              <c:numCache>
                <c:formatCode>#,##0\ "€"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2D-461F-BFE2-EFF39928A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5"/>
        <c:overlap val="-40"/>
        <c:axId val="1604188463"/>
        <c:axId val="1604184623"/>
      </c:barChart>
      <c:catAx>
        <c:axId val="1604188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BDCB5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04184623"/>
        <c:crosses val="autoZero"/>
        <c:auto val="1"/>
        <c:lblAlgn val="ctr"/>
        <c:lblOffset val="100"/>
        <c:noMultiLvlLbl val="0"/>
      </c:catAx>
      <c:valAx>
        <c:axId val="1604184623"/>
        <c:scaling>
          <c:orientation val="minMax"/>
        </c:scaling>
        <c:delete val="1"/>
        <c:axPos val="l"/>
        <c:numFmt formatCode="#,##0\ &quot;€&quot;" sourceLinked="1"/>
        <c:majorTickMark val="out"/>
        <c:minorTickMark val="none"/>
        <c:tickLblPos val="nextTo"/>
        <c:crossAx val="1604188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rgbClr val="7BDCB5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noFill/>
            <a:ln>
              <a:solidFill>
                <a:srgbClr val="FE0000"/>
              </a:solidFill>
            </a:ln>
            <a:effectLst>
              <a:glow rad="63500">
                <a:srgbClr val="FF7575">
                  <a:alpha val="40000"/>
                </a:srgbClr>
              </a:glow>
            </a:effectLst>
          </c:spPr>
          <c:explosion val="4"/>
          <c:dPt>
            <c:idx val="0"/>
            <c:bubble3D val="0"/>
            <c:spPr>
              <a:noFill/>
              <a:ln w="19050">
                <a:solidFill>
                  <a:srgbClr val="FE0000"/>
                </a:solidFill>
              </a:ln>
              <a:effectLst>
                <a:glow rad="63500">
                  <a:srgbClr val="FF7575">
                    <a:alpha val="4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1-762D-461F-BFE2-EFF39928A647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rgbClr val="FF7575"/>
                </a:solidFill>
              </a:ln>
              <a:effectLst>
                <a:glow rad="63500">
                  <a:srgbClr val="FF7575">
                    <a:alpha val="4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3-762D-461F-BFE2-EFF39928A6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BDCB5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Haushaltsbuch!$B$136:$B$137</c:f>
              <c:strCache>
                <c:ptCount val="2"/>
                <c:pt idx="0">
                  <c:v>Fixe Ausgaben</c:v>
                </c:pt>
                <c:pt idx="1">
                  <c:v>Variable Ausgaben</c:v>
                </c:pt>
              </c:strCache>
            </c:strRef>
          </c:cat>
          <c:val>
            <c:numRef>
              <c:f>Haushaltsbuch!$P$136:$P$137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2D-461F-BFE2-EFF39928A64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>
          <a:glow rad="127000">
            <a:srgbClr val="FE0000">
              <a:alpha val="70000"/>
            </a:srgbClr>
          </a:glow>
        </a:effectLst>
      </c:spPr>
    </c:plotArea>
    <c:legend>
      <c:legendPos val="b"/>
      <c:layout>
        <c:manualLayout>
          <c:xMode val="edge"/>
          <c:yMode val="edge"/>
          <c:x val="0.22988472029231641"/>
          <c:y val="0.81325237959712871"/>
          <c:w val="0.54023030209459111"/>
          <c:h val="9.0362078234196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7BDCB5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>
      <a:glow rad="101600">
        <a:srgbClr val="FE0000">
          <a:alpha val="40000"/>
        </a:srgbClr>
      </a:glow>
    </a:effectLst>
  </c:spPr>
  <c:txPr>
    <a:bodyPr/>
    <a:lstStyle/>
    <a:p>
      <a:pPr>
        <a:defRPr>
          <a:solidFill>
            <a:srgbClr val="7BDCB5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noFill/>
            <a:ln>
              <a:solidFill>
                <a:srgbClr val="FF0000"/>
              </a:solidFill>
            </a:ln>
            <a:effectLst>
              <a:glow rad="63500">
                <a:srgbClr val="FF7575">
                  <a:alpha val="40000"/>
                </a:srgbClr>
              </a:glow>
            </a:effectLst>
          </c:spPr>
          <c:dPt>
            <c:idx val="0"/>
            <c:bubble3D val="0"/>
            <c:spPr>
              <a:noFill/>
              <a:ln>
                <a:solidFill>
                  <a:srgbClr val="FF0000"/>
                </a:solidFill>
              </a:ln>
              <a:effectLst>
                <a:glow rad="63500">
                  <a:srgbClr val="FF7575">
                    <a:alpha val="4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1-1287-4F5B-8320-3A071A94F475}"/>
              </c:ext>
            </c:extLst>
          </c:dPt>
          <c:dPt>
            <c:idx val="1"/>
            <c:bubble3D val="0"/>
            <c:spPr>
              <a:noFill/>
              <a:ln>
                <a:solidFill>
                  <a:srgbClr val="FF0000"/>
                </a:solidFill>
              </a:ln>
              <a:effectLst>
                <a:glow rad="63500">
                  <a:srgbClr val="FF7575">
                    <a:alpha val="4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3-1287-4F5B-8320-3A071A94F475}"/>
              </c:ext>
            </c:extLst>
          </c:dPt>
          <c:dPt>
            <c:idx val="2"/>
            <c:bubble3D val="0"/>
            <c:spPr>
              <a:noFill/>
              <a:ln>
                <a:solidFill>
                  <a:srgbClr val="FF0000"/>
                </a:solidFill>
              </a:ln>
              <a:effectLst>
                <a:glow rad="63500">
                  <a:srgbClr val="FF7575">
                    <a:alpha val="4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5-1287-4F5B-8320-3A071A94F475}"/>
              </c:ext>
            </c:extLst>
          </c:dPt>
          <c:dPt>
            <c:idx val="3"/>
            <c:bubble3D val="0"/>
            <c:spPr>
              <a:noFill/>
              <a:ln>
                <a:solidFill>
                  <a:srgbClr val="FF0000"/>
                </a:solidFill>
              </a:ln>
              <a:effectLst>
                <a:glow rad="63500">
                  <a:srgbClr val="FF7575">
                    <a:alpha val="4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7-1287-4F5B-8320-3A071A94F475}"/>
              </c:ext>
            </c:extLst>
          </c:dPt>
          <c:dPt>
            <c:idx val="4"/>
            <c:bubble3D val="0"/>
            <c:spPr>
              <a:noFill/>
              <a:ln>
                <a:solidFill>
                  <a:srgbClr val="FF0000"/>
                </a:solidFill>
              </a:ln>
              <a:effectLst>
                <a:glow rad="63500">
                  <a:srgbClr val="FF7575">
                    <a:alpha val="4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9-1287-4F5B-8320-3A071A94F475}"/>
              </c:ext>
            </c:extLst>
          </c:dPt>
          <c:dPt>
            <c:idx val="5"/>
            <c:bubble3D val="0"/>
            <c:spPr>
              <a:noFill/>
              <a:ln>
                <a:solidFill>
                  <a:srgbClr val="FF0000"/>
                </a:solidFill>
              </a:ln>
              <a:effectLst>
                <a:glow rad="63500">
                  <a:srgbClr val="FF7575">
                    <a:alpha val="4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B-1287-4F5B-8320-3A071A94F475}"/>
              </c:ext>
            </c:extLst>
          </c:dPt>
          <c:dPt>
            <c:idx val="6"/>
            <c:bubble3D val="0"/>
            <c:spPr>
              <a:noFill/>
              <a:ln>
                <a:solidFill>
                  <a:srgbClr val="FF0000"/>
                </a:solidFill>
              </a:ln>
              <a:effectLst>
                <a:glow rad="63500">
                  <a:srgbClr val="FF7575">
                    <a:alpha val="4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D-1287-4F5B-8320-3A071A94F475}"/>
              </c:ext>
            </c:extLst>
          </c:dPt>
          <c:dPt>
            <c:idx val="7"/>
            <c:bubble3D val="0"/>
            <c:spPr>
              <a:noFill/>
              <a:ln>
                <a:solidFill>
                  <a:srgbClr val="FF0000"/>
                </a:solidFill>
              </a:ln>
              <a:effectLst>
                <a:glow rad="63500">
                  <a:srgbClr val="FF7575">
                    <a:alpha val="4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F-1287-4F5B-8320-3A071A94F475}"/>
              </c:ext>
            </c:extLst>
          </c:dPt>
          <c:dPt>
            <c:idx val="8"/>
            <c:bubble3D val="0"/>
            <c:spPr>
              <a:noFill/>
              <a:ln>
                <a:solidFill>
                  <a:srgbClr val="FF0000"/>
                </a:solidFill>
              </a:ln>
              <a:effectLst>
                <a:glow rad="63500">
                  <a:srgbClr val="FF7575">
                    <a:alpha val="4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11-1287-4F5B-8320-3A071A94F475}"/>
              </c:ext>
            </c:extLst>
          </c:dPt>
          <c:dPt>
            <c:idx val="9"/>
            <c:bubble3D val="0"/>
            <c:spPr>
              <a:noFill/>
              <a:ln>
                <a:solidFill>
                  <a:srgbClr val="FF0000"/>
                </a:solidFill>
              </a:ln>
              <a:effectLst>
                <a:glow rad="63500">
                  <a:srgbClr val="FF7575">
                    <a:alpha val="4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13-1287-4F5B-8320-3A071A94F475}"/>
              </c:ext>
            </c:extLst>
          </c:dPt>
          <c:dLbls>
            <c:dLbl>
              <c:idx val="6"/>
              <c:layout>
                <c:manualLayout>
                  <c:x val="8.9981321650874968E-2"/>
                  <c:y val="1.7542595078702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287-4F5B-8320-3A071A94F4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BDCB5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(Haushaltsbuch!$B$23,Haushaltsbuch!$B$34,Haushaltsbuch!$B$50,Haushaltsbuch!$B$58,Haushaltsbuch!$B$65,Haushaltsbuch!$B$74,Haushaltsbuch!$B$94,Haushaltsbuch!$B$104,Haushaltsbuch!$B$111,Haushaltsbuch!$B$119)</c:f>
              <c:strCache>
                <c:ptCount val="10"/>
                <c:pt idx="0">
                  <c:v>Wohnen</c:v>
                </c:pt>
                <c:pt idx="1">
                  <c:v>Versicherungen</c:v>
                </c:pt>
                <c:pt idx="2">
                  <c:v>Investments</c:v>
                </c:pt>
                <c:pt idx="3">
                  <c:v>Sparen</c:v>
                </c:pt>
                <c:pt idx="4">
                  <c:v>Finanzierungen</c:v>
                </c:pt>
                <c:pt idx="5">
                  <c:v>Sonstige Fixkosten</c:v>
                </c:pt>
                <c:pt idx="6">
                  <c:v>Lebenshaltung</c:v>
                </c:pt>
                <c:pt idx="7">
                  <c:v>Mobilität</c:v>
                </c:pt>
                <c:pt idx="8">
                  <c:v>Entertainment</c:v>
                </c:pt>
                <c:pt idx="9">
                  <c:v>Sonstige Variable Kosten</c:v>
                </c:pt>
              </c:strCache>
            </c:strRef>
          </c:cat>
          <c:val>
            <c:numRef>
              <c:f>(Haushaltsbuch!$O$30,Haushaltsbuch!$O$46,Haushaltsbuch!$O$54,Haushaltsbuch!$O$61,Haushaltsbuch!$O$70,Haushaltsbuch!$O$87,Haushaltsbuch!$O$100,Haushaltsbuch!$O$107,Haushaltsbuch!$O$115,Haushaltsbuch!$O$128)</c:f>
              <c:numCache>
                <c:formatCode>#,##0.00\ "€"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287-4F5B-8320-3A071A94F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7BDCB5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Empfohlen</a:t>
            </a:r>
          </a:p>
        </c:rich>
      </c:tx>
      <c:layout>
        <c:manualLayout>
          <c:xMode val="edge"/>
          <c:yMode val="edge"/>
          <c:x val="0.35903280176325686"/>
          <c:y val="0.198437499999999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7BDCB5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 w="19050">
              <a:solidFill>
                <a:srgbClr val="7BDCB5"/>
              </a:solidFill>
            </a:ln>
            <a:effectLst>
              <a:glow rad="635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BDCB5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Haushaltsbuch!$B$146:$B$149</c:f>
              <c:strCache>
                <c:ptCount val="4"/>
                <c:pt idx="0">
                  <c:v>Basiskonto</c:v>
                </c:pt>
                <c:pt idx="1">
                  <c:v>Freizeitkonto</c:v>
                </c:pt>
                <c:pt idx="2">
                  <c:v>Vermögenskonto</c:v>
                </c:pt>
                <c:pt idx="3">
                  <c:v>Sparkonto</c:v>
                </c:pt>
              </c:strCache>
            </c:strRef>
          </c:cat>
          <c:val>
            <c:numRef>
              <c:f>Haushaltsbuch!$E$146:$E$149</c:f>
              <c:numCache>
                <c:formatCode>0%</c:formatCode>
                <c:ptCount val="4"/>
                <c:pt idx="0">
                  <c:v>0.5</c:v>
                </c:pt>
                <c:pt idx="1">
                  <c:v>0.25</c:v>
                </c:pt>
                <c:pt idx="2">
                  <c:v>0.15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19-4C93-A2DC-7D8309236A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91854191"/>
        <c:axId val="1491857551"/>
      </c:barChart>
      <c:catAx>
        <c:axId val="1491854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7BDCB5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1857551"/>
        <c:crosses val="autoZero"/>
        <c:auto val="1"/>
        <c:lblAlgn val="ctr"/>
        <c:lblOffset val="100"/>
        <c:noMultiLvlLbl val="0"/>
      </c:catAx>
      <c:valAx>
        <c:axId val="149185755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491854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rgbClr val="7BDCB5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7BDCB5"/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Aktuell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7BDCB5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 w="19050">
              <a:solidFill>
                <a:srgbClr val="7BDCB5"/>
              </a:solidFill>
            </a:ln>
            <a:effectLst>
              <a:glow rad="635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BDCB5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Haushaltsbuch!$B$146:$B$149</c:f>
              <c:strCache>
                <c:ptCount val="4"/>
                <c:pt idx="0">
                  <c:v>Basiskonto</c:v>
                </c:pt>
                <c:pt idx="1">
                  <c:v>Freizeitkonto</c:v>
                </c:pt>
                <c:pt idx="2">
                  <c:v>Vermögenskonto</c:v>
                </c:pt>
                <c:pt idx="3">
                  <c:v>Sparkonto</c:v>
                </c:pt>
              </c:strCache>
            </c:strRef>
          </c:cat>
          <c:val>
            <c:numRef>
              <c:f>Haushaltsbuch!$D$146:$D$149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4-4383-B983-C1F42F9FAA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91854191"/>
        <c:axId val="1491857551"/>
      </c:barChart>
      <c:catAx>
        <c:axId val="1491854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7BDCB5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1857551"/>
        <c:crosses val="autoZero"/>
        <c:auto val="1"/>
        <c:lblAlgn val="ctr"/>
        <c:lblOffset val="100"/>
        <c:noMultiLvlLbl val="0"/>
      </c:catAx>
      <c:valAx>
        <c:axId val="149185755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491854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rgbClr val="7BDCB5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9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</a:schemeClr>
            </a:gs>
            <a:gs pos="100000">
              <a:schemeClr val="dk1">
                <a:lumMod val="75000"/>
                <a:lumOff val="25000"/>
              </a:schemeClr>
            </a:gs>
          </a:gsLst>
          <a:lin ang="10800000" scaled="0"/>
        </a:gradFill>
        <a:round/>
      </a:ln>
      <a:effectLst/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3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chart" Target="../charts/chart3.xml"/><Relationship Id="rId18" Type="http://schemas.openxmlformats.org/officeDocument/2006/relationships/chart" Target="../charts/chart7.xm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chart" Target="../charts/chart2.xml"/><Relationship Id="rId17" Type="http://schemas.openxmlformats.org/officeDocument/2006/relationships/chart" Target="../charts/chart6.xml"/><Relationship Id="rId2" Type="http://schemas.openxmlformats.org/officeDocument/2006/relationships/image" Target="../media/image2.svg"/><Relationship Id="rId16" Type="http://schemas.openxmlformats.org/officeDocument/2006/relationships/image" Target="../media/image11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chart" Target="../charts/chart1.xml"/><Relationship Id="rId5" Type="http://schemas.openxmlformats.org/officeDocument/2006/relationships/image" Target="../media/image5.png"/><Relationship Id="rId15" Type="http://schemas.openxmlformats.org/officeDocument/2006/relationships/chart" Target="../charts/chart5.xml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3</xdr:row>
      <xdr:rowOff>66674</xdr:rowOff>
    </xdr:from>
    <xdr:to>
      <xdr:col>4</xdr:col>
      <xdr:colOff>571500</xdr:colOff>
      <xdr:row>9</xdr:row>
      <xdr:rowOff>3674</xdr:rowOff>
    </xdr:to>
    <xdr:sp macro="" textlink="Haushaltsbuch!O135">
      <xdr:nvSpPr>
        <xdr:cNvPr id="3" name="Rechteck: abgerundete Ecken 2">
          <a:extLst>
            <a:ext uri="{FF2B5EF4-FFF2-40B4-BE49-F238E27FC236}">
              <a16:creationId xmlns:a16="http://schemas.microsoft.com/office/drawing/2014/main" id="{6A0E49EC-7CAA-AD8C-B4D1-8C24D3E7AFF1}"/>
            </a:ext>
          </a:extLst>
        </xdr:cNvPr>
        <xdr:cNvSpPr/>
      </xdr:nvSpPr>
      <xdr:spPr>
        <a:xfrm>
          <a:off x="752475" y="638174"/>
          <a:ext cx="2867025" cy="1080000"/>
        </a:xfrm>
        <a:prstGeom prst="roundRect">
          <a:avLst/>
        </a:prstGeom>
        <a:solidFill>
          <a:srgbClr val="0C384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r"/>
          <a:fld id="{7F534C3C-7144-4FA7-A621-F564442710EB}" type="TxLink">
            <a:rPr lang="en-US" sz="3200" b="1" i="0" u="none" strike="noStrike">
              <a:solidFill>
                <a:srgbClr val="7BDCB5"/>
              </a:solidFill>
              <a:latin typeface="Aptos Narrow"/>
            </a:rPr>
            <a:pPr algn="r"/>
            <a:t>0 €</a:t>
          </a:fld>
          <a:endParaRPr lang="de-DE" sz="3200">
            <a:solidFill>
              <a:srgbClr val="7BDCB5"/>
            </a:solidFill>
          </a:endParaRPr>
        </a:p>
      </xdr:txBody>
    </xdr:sp>
    <xdr:clientData/>
  </xdr:twoCellAnchor>
  <xdr:twoCellAnchor>
    <xdr:from>
      <xdr:col>5</xdr:col>
      <xdr:colOff>361950</xdr:colOff>
      <xdr:row>3</xdr:row>
      <xdr:rowOff>66674</xdr:rowOff>
    </xdr:from>
    <xdr:to>
      <xdr:col>9</xdr:col>
      <xdr:colOff>180975</xdr:colOff>
      <xdr:row>9</xdr:row>
      <xdr:rowOff>3674</xdr:rowOff>
    </xdr:to>
    <xdr:sp macro="" textlink="Haushaltsbuch!O138">
      <xdr:nvSpPr>
        <xdr:cNvPr id="15" name="Rechteck: abgerundete Ecken 14">
          <a:extLst>
            <a:ext uri="{FF2B5EF4-FFF2-40B4-BE49-F238E27FC236}">
              <a16:creationId xmlns:a16="http://schemas.microsoft.com/office/drawing/2014/main" id="{88C02465-4B0F-65DE-B85F-C7E86769E0D6}"/>
            </a:ext>
          </a:extLst>
        </xdr:cNvPr>
        <xdr:cNvSpPr/>
      </xdr:nvSpPr>
      <xdr:spPr>
        <a:xfrm>
          <a:off x="4171950" y="638174"/>
          <a:ext cx="2867025" cy="1080000"/>
        </a:xfrm>
        <a:prstGeom prst="roundRect">
          <a:avLst/>
        </a:prstGeom>
        <a:solidFill>
          <a:srgbClr val="0C384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r"/>
          <a:fld id="{FC3B4746-B706-42C7-9D86-32EEF904B7D6}" type="TxLink">
            <a:rPr lang="en-US" sz="3200" b="1" i="0" u="none" strike="noStrike">
              <a:solidFill>
                <a:srgbClr val="7BDCB5"/>
              </a:solidFill>
              <a:latin typeface="Aptos Narrow"/>
              <a:ea typeface="+mn-ea"/>
              <a:cs typeface="+mn-cs"/>
            </a:rPr>
            <a:pPr marL="0" indent="0" algn="r"/>
            <a:t>0 €</a:t>
          </a:fld>
          <a:endParaRPr lang="de-DE" sz="3200" b="1" i="0" u="none" strike="noStrike">
            <a:solidFill>
              <a:srgbClr val="7BDCB5"/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714375</xdr:colOff>
      <xdr:row>3</xdr:row>
      <xdr:rowOff>95249</xdr:rowOff>
    </xdr:from>
    <xdr:to>
      <xdr:col>13</xdr:col>
      <xdr:colOff>533400</xdr:colOff>
      <xdr:row>9</xdr:row>
      <xdr:rowOff>32249</xdr:rowOff>
    </xdr:to>
    <xdr:sp macro="" textlink="Haushaltsbuch!O140">
      <xdr:nvSpPr>
        <xdr:cNvPr id="16" name="Rechteck: abgerundete Ecken 15">
          <a:extLst>
            <a:ext uri="{FF2B5EF4-FFF2-40B4-BE49-F238E27FC236}">
              <a16:creationId xmlns:a16="http://schemas.microsoft.com/office/drawing/2014/main" id="{556BC3FE-D715-889A-07D1-10F5BBB3C3A1}"/>
            </a:ext>
          </a:extLst>
        </xdr:cNvPr>
        <xdr:cNvSpPr/>
      </xdr:nvSpPr>
      <xdr:spPr>
        <a:xfrm>
          <a:off x="7572375" y="666749"/>
          <a:ext cx="2867025" cy="1080000"/>
        </a:xfrm>
        <a:prstGeom prst="roundRect">
          <a:avLst/>
        </a:prstGeom>
        <a:solidFill>
          <a:srgbClr val="0C384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r"/>
          <a:fld id="{E95BF1F4-4E4D-4B6C-AFB2-35E90F153E1A}" type="TxLink">
            <a:rPr lang="en-US" sz="3200" b="1" i="0" u="none" strike="noStrike">
              <a:solidFill>
                <a:srgbClr val="7BDCB5"/>
              </a:solidFill>
              <a:latin typeface="Aptos Narrow"/>
              <a:ea typeface="+mn-ea"/>
              <a:cs typeface="+mn-cs"/>
            </a:rPr>
            <a:pPr marL="0" indent="0" algn="r"/>
            <a:t>0 €</a:t>
          </a:fld>
          <a:endParaRPr lang="de-DE" sz="3200" b="1" i="0" u="none" strike="noStrike">
            <a:solidFill>
              <a:srgbClr val="7BDCB5"/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314325</xdr:colOff>
      <xdr:row>3</xdr:row>
      <xdr:rowOff>66674</xdr:rowOff>
    </xdr:from>
    <xdr:to>
      <xdr:col>18</xdr:col>
      <xdr:colOff>133350</xdr:colOff>
      <xdr:row>9</xdr:row>
      <xdr:rowOff>3674</xdr:rowOff>
    </xdr:to>
    <xdr:sp macro="" textlink="Haushaltsbuch!O141">
      <xdr:nvSpPr>
        <xdr:cNvPr id="17" name="Rechteck: abgerundete Ecken 16">
          <a:extLst>
            <a:ext uri="{FF2B5EF4-FFF2-40B4-BE49-F238E27FC236}">
              <a16:creationId xmlns:a16="http://schemas.microsoft.com/office/drawing/2014/main" id="{16E73FCE-202A-B58E-1267-B3CF52FAAB88}"/>
            </a:ext>
          </a:extLst>
        </xdr:cNvPr>
        <xdr:cNvSpPr/>
      </xdr:nvSpPr>
      <xdr:spPr>
        <a:xfrm>
          <a:off x="10982325" y="638174"/>
          <a:ext cx="2867025" cy="1080000"/>
        </a:xfrm>
        <a:prstGeom prst="roundRect">
          <a:avLst/>
        </a:prstGeom>
        <a:solidFill>
          <a:srgbClr val="0C384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r"/>
          <a:fld id="{A295A9E9-FBBA-4578-94F7-A9DED13319AA}" type="TxLink">
            <a:rPr lang="en-US" sz="3200" b="1" i="0" u="none" strike="noStrike">
              <a:solidFill>
                <a:srgbClr val="7BDCB5"/>
              </a:solidFill>
              <a:latin typeface="Aptos Narrow"/>
              <a:ea typeface="+mn-ea"/>
              <a:cs typeface="+mn-cs"/>
            </a:rPr>
            <a:pPr marL="0" indent="0" algn="r"/>
            <a:t>0 €</a:t>
          </a:fld>
          <a:endParaRPr lang="de-DE" sz="3200" b="1" i="0" u="none" strike="noStrike">
            <a:solidFill>
              <a:srgbClr val="7BDCB5"/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647700</xdr:colOff>
      <xdr:row>3</xdr:row>
      <xdr:rowOff>66674</xdr:rowOff>
    </xdr:from>
    <xdr:to>
      <xdr:col>22</xdr:col>
      <xdr:colOff>466725</xdr:colOff>
      <xdr:row>9</xdr:row>
      <xdr:rowOff>3674</xdr:rowOff>
    </xdr:to>
    <xdr:sp macro="" textlink="Haushaltsbuch!O142">
      <xdr:nvSpPr>
        <xdr:cNvPr id="18" name="Rechteck: abgerundete Ecken 17">
          <a:extLst>
            <a:ext uri="{FF2B5EF4-FFF2-40B4-BE49-F238E27FC236}">
              <a16:creationId xmlns:a16="http://schemas.microsoft.com/office/drawing/2014/main" id="{F369F7BA-A10B-2089-B442-58D2404D4427}"/>
            </a:ext>
          </a:extLst>
        </xdr:cNvPr>
        <xdr:cNvSpPr/>
      </xdr:nvSpPr>
      <xdr:spPr>
        <a:xfrm>
          <a:off x="14363700" y="638174"/>
          <a:ext cx="2867025" cy="1080000"/>
        </a:xfrm>
        <a:prstGeom prst="roundRect">
          <a:avLst/>
        </a:prstGeom>
        <a:solidFill>
          <a:srgbClr val="0C384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r"/>
          <a:fld id="{52E240A8-21E1-4CB0-8754-91E807DAA242}" type="TxLink">
            <a:rPr lang="en-US" sz="3200" b="1" i="0" u="none" strike="noStrike">
              <a:solidFill>
                <a:srgbClr val="7BDCB5"/>
              </a:solidFill>
              <a:latin typeface="Aptos Narrow"/>
              <a:ea typeface="+mn-ea"/>
              <a:cs typeface="+mn-cs"/>
            </a:rPr>
            <a:pPr marL="0" indent="0" algn="r"/>
            <a:t>0,0%</a:t>
          </a:fld>
          <a:endParaRPr lang="de-DE" sz="3200" b="1" i="0" u="none" strike="noStrike">
            <a:solidFill>
              <a:srgbClr val="7BDCB5"/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742950</xdr:colOff>
      <xdr:row>10</xdr:row>
      <xdr:rowOff>142874</xdr:rowOff>
    </xdr:from>
    <xdr:to>
      <xdr:col>9</xdr:col>
      <xdr:colOff>180975</xdr:colOff>
      <xdr:row>35</xdr:row>
      <xdr:rowOff>19050</xdr:rowOff>
    </xdr:to>
    <xdr:sp macro="" textlink="">
      <xdr:nvSpPr>
        <xdr:cNvPr id="19" name="Rechteck: abgerundete Ecken 18">
          <a:extLst>
            <a:ext uri="{FF2B5EF4-FFF2-40B4-BE49-F238E27FC236}">
              <a16:creationId xmlns:a16="http://schemas.microsoft.com/office/drawing/2014/main" id="{C9842BFE-AF25-47DF-9D8E-509EB9B5CD12}"/>
            </a:ext>
          </a:extLst>
        </xdr:cNvPr>
        <xdr:cNvSpPr/>
      </xdr:nvSpPr>
      <xdr:spPr>
        <a:xfrm>
          <a:off x="742950" y="2047874"/>
          <a:ext cx="6296025" cy="4638676"/>
        </a:xfrm>
        <a:prstGeom prst="roundRect">
          <a:avLst>
            <a:gd name="adj" fmla="val 8453"/>
          </a:avLst>
        </a:prstGeom>
        <a:solidFill>
          <a:srgbClr val="0C384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r"/>
          <a:endParaRPr lang="de-DE" sz="3200" b="1" i="0" u="none" strike="noStrike">
            <a:solidFill>
              <a:srgbClr val="7BDCB5"/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285749</xdr:colOff>
      <xdr:row>10</xdr:row>
      <xdr:rowOff>66675</xdr:rowOff>
    </xdr:from>
    <xdr:to>
      <xdr:col>22</xdr:col>
      <xdr:colOff>466724</xdr:colOff>
      <xdr:row>21</xdr:row>
      <xdr:rowOff>95251</xdr:rowOff>
    </xdr:to>
    <xdr:sp macro="" textlink="">
      <xdr:nvSpPr>
        <xdr:cNvPr id="20" name="Rechteck: abgerundete Ecken 19">
          <a:extLst>
            <a:ext uri="{FF2B5EF4-FFF2-40B4-BE49-F238E27FC236}">
              <a16:creationId xmlns:a16="http://schemas.microsoft.com/office/drawing/2014/main" id="{F9F8EECE-810D-575C-7609-7AE4F086A9E3}"/>
            </a:ext>
          </a:extLst>
        </xdr:cNvPr>
        <xdr:cNvSpPr/>
      </xdr:nvSpPr>
      <xdr:spPr>
        <a:xfrm>
          <a:off x="10953749" y="1971675"/>
          <a:ext cx="6276975" cy="2124076"/>
        </a:xfrm>
        <a:prstGeom prst="roundRect">
          <a:avLst>
            <a:gd name="adj" fmla="val 13080"/>
          </a:avLst>
        </a:prstGeom>
        <a:solidFill>
          <a:srgbClr val="0C384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r"/>
          <a:endParaRPr lang="de-DE" sz="3200" b="1" i="0" u="none" strike="noStrike">
            <a:solidFill>
              <a:srgbClr val="7BDCB5"/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676275</xdr:colOff>
      <xdr:row>22</xdr:row>
      <xdr:rowOff>142875</xdr:rowOff>
    </xdr:from>
    <xdr:to>
      <xdr:col>22</xdr:col>
      <xdr:colOff>466725</xdr:colOff>
      <xdr:row>34</xdr:row>
      <xdr:rowOff>171451</xdr:rowOff>
    </xdr:to>
    <xdr:sp macro="" textlink="">
      <xdr:nvSpPr>
        <xdr:cNvPr id="21" name="Rechteck: abgerundete Ecken 20">
          <a:extLst>
            <a:ext uri="{FF2B5EF4-FFF2-40B4-BE49-F238E27FC236}">
              <a16:creationId xmlns:a16="http://schemas.microsoft.com/office/drawing/2014/main" id="{D0781D67-B443-96EB-68C0-13C7A734C19B}"/>
            </a:ext>
          </a:extLst>
        </xdr:cNvPr>
        <xdr:cNvSpPr/>
      </xdr:nvSpPr>
      <xdr:spPr>
        <a:xfrm>
          <a:off x="7534275" y="4333875"/>
          <a:ext cx="9696450" cy="2314576"/>
        </a:xfrm>
        <a:prstGeom prst="roundRect">
          <a:avLst>
            <a:gd name="adj" fmla="val 13375"/>
          </a:avLst>
        </a:prstGeom>
        <a:solidFill>
          <a:srgbClr val="0C384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r"/>
          <a:endParaRPr lang="de-DE" sz="3200" b="1" i="0" u="none" strike="noStrike">
            <a:solidFill>
              <a:srgbClr val="7BDCB5"/>
            </a:solidFill>
            <a:latin typeface="Aptos Narrow"/>
            <a:ea typeface="+mn-ea"/>
            <a:cs typeface="+mn-cs"/>
          </a:endParaRPr>
        </a:p>
      </xdr:txBody>
    </xdr:sp>
    <xdr:clientData/>
  </xdr:twoCellAnchor>
  <xdr:oneCellAnchor>
    <xdr:from>
      <xdr:col>2</xdr:col>
      <xdr:colOff>514350</xdr:colOff>
      <xdr:row>3</xdr:row>
      <xdr:rowOff>114300</xdr:rowOff>
    </xdr:from>
    <xdr:ext cx="1624484" cy="468013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7344AA0-B5CD-9127-F820-C2C8B01A1C5B}"/>
            </a:ext>
          </a:extLst>
        </xdr:cNvPr>
        <xdr:cNvSpPr txBox="1"/>
      </xdr:nvSpPr>
      <xdr:spPr>
        <a:xfrm>
          <a:off x="2038350" y="685800"/>
          <a:ext cx="1624484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400" b="1">
              <a:solidFill>
                <a:srgbClr val="7BDCB5"/>
              </a:solidFill>
            </a:rPr>
            <a:t>Einnahmen</a:t>
          </a:r>
          <a:endParaRPr lang="de-DE" sz="1400" b="1">
            <a:solidFill>
              <a:srgbClr val="7BDCB5"/>
            </a:solidFill>
          </a:endParaRPr>
        </a:p>
      </xdr:txBody>
    </xdr:sp>
    <xdr:clientData/>
  </xdr:oneCellAnchor>
  <xdr:oneCellAnchor>
    <xdr:from>
      <xdr:col>7</xdr:col>
      <xdr:colOff>295275</xdr:colOff>
      <xdr:row>3</xdr:row>
      <xdr:rowOff>114300</xdr:rowOff>
    </xdr:from>
    <xdr:ext cx="1433662" cy="468013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250909A8-A180-0680-BC0B-C60EB6F6CDE4}"/>
            </a:ext>
          </a:extLst>
        </xdr:cNvPr>
        <xdr:cNvSpPr txBox="1"/>
      </xdr:nvSpPr>
      <xdr:spPr>
        <a:xfrm>
          <a:off x="5629275" y="685800"/>
          <a:ext cx="1433662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400" b="1">
              <a:solidFill>
                <a:srgbClr val="7BDCB5"/>
              </a:solidFill>
            </a:rPr>
            <a:t>Ausgaben</a:t>
          </a:r>
          <a:endParaRPr lang="de-DE" sz="1400" b="1">
            <a:solidFill>
              <a:srgbClr val="7BDCB5"/>
            </a:solidFill>
          </a:endParaRPr>
        </a:p>
      </xdr:txBody>
    </xdr:sp>
    <xdr:clientData/>
  </xdr:oneCellAnchor>
  <xdr:oneCellAnchor>
    <xdr:from>
      <xdr:col>11</xdr:col>
      <xdr:colOff>714375</xdr:colOff>
      <xdr:row>3</xdr:row>
      <xdr:rowOff>114300</xdr:rowOff>
    </xdr:from>
    <xdr:ext cx="1380827" cy="468013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D33C1C0C-7FB9-AF31-7126-2BC3013AEA91}"/>
            </a:ext>
          </a:extLst>
        </xdr:cNvPr>
        <xdr:cNvSpPr txBox="1"/>
      </xdr:nvSpPr>
      <xdr:spPr>
        <a:xfrm>
          <a:off x="9096375" y="685800"/>
          <a:ext cx="1380827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400" b="1">
              <a:solidFill>
                <a:srgbClr val="7BDCB5"/>
              </a:solidFill>
            </a:rPr>
            <a:t>Cashflow</a:t>
          </a:r>
          <a:endParaRPr lang="de-DE" sz="1400" b="1">
            <a:solidFill>
              <a:srgbClr val="7BDCB5"/>
            </a:solidFill>
          </a:endParaRPr>
        </a:p>
      </xdr:txBody>
    </xdr:sp>
    <xdr:clientData/>
  </xdr:oneCellAnchor>
  <xdr:oneCellAnchor>
    <xdr:from>
      <xdr:col>16</xdr:col>
      <xdr:colOff>95250</xdr:colOff>
      <xdr:row>3</xdr:row>
      <xdr:rowOff>114300</xdr:rowOff>
    </xdr:from>
    <xdr:ext cx="1586268" cy="468013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E1C83469-F274-EC8D-F4E0-35049F65B46D}"/>
            </a:ext>
          </a:extLst>
        </xdr:cNvPr>
        <xdr:cNvSpPr txBox="1"/>
      </xdr:nvSpPr>
      <xdr:spPr>
        <a:xfrm>
          <a:off x="12287250" y="685800"/>
          <a:ext cx="1586268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400" b="1">
              <a:solidFill>
                <a:srgbClr val="7BDCB5"/>
              </a:solidFill>
            </a:rPr>
            <a:t>Sparbetrag</a:t>
          </a:r>
          <a:endParaRPr lang="de-DE" sz="1400" b="1">
            <a:solidFill>
              <a:srgbClr val="7BDCB5"/>
            </a:solidFill>
          </a:endParaRPr>
        </a:p>
      </xdr:txBody>
    </xdr:sp>
    <xdr:clientData/>
  </xdr:oneCellAnchor>
  <xdr:oneCellAnchor>
    <xdr:from>
      <xdr:col>20</xdr:col>
      <xdr:colOff>514350</xdr:colOff>
      <xdr:row>3</xdr:row>
      <xdr:rowOff>114300</xdr:rowOff>
    </xdr:from>
    <xdr:ext cx="1508233" cy="468013"/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950ABDFC-62C4-2D14-D6A9-59EB0C1D1F02}"/>
            </a:ext>
          </a:extLst>
        </xdr:cNvPr>
        <xdr:cNvSpPr txBox="1"/>
      </xdr:nvSpPr>
      <xdr:spPr>
        <a:xfrm>
          <a:off x="15754350" y="685800"/>
          <a:ext cx="150823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400" b="1">
              <a:solidFill>
                <a:srgbClr val="7BDCB5"/>
              </a:solidFill>
            </a:rPr>
            <a:t>Sparquote</a:t>
          </a:r>
          <a:endParaRPr lang="de-DE" sz="1400" b="1">
            <a:solidFill>
              <a:srgbClr val="7BDCB5"/>
            </a:solidFill>
          </a:endParaRPr>
        </a:p>
      </xdr:txBody>
    </xdr:sp>
    <xdr:clientData/>
  </xdr:oneCellAnchor>
  <xdr:twoCellAnchor editAs="oneCell">
    <xdr:from>
      <xdr:col>1</xdr:col>
      <xdr:colOff>76200</xdr:colOff>
      <xdr:row>3</xdr:row>
      <xdr:rowOff>95250</xdr:rowOff>
    </xdr:from>
    <xdr:to>
      <xdr:col>2</xdr:col>
      <xdr:colOff>343800</xdr:colOff>
      <xdr:row>8</xdr:row>
      <xdr:rowOff>172350</xdr:rowOff>
    </xdr:to>
    <xdr:pic>
      <xdr:nvPicPr>
        <xdr:cNvPr id="27" name="Grafik 26" descr="Münzen Silhouette">
          <a:extLst>
            <a:ext uri="{FF2B5EF4-FFF2-40B4-BE49-F238E27FC236}">
              <a16:creationId xmlns:a16="http://schemas.microsoft.com/office/drawing/2014/main" id="{25AC0EAA-F13F-2711-283F-73F78879F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8200" y="666750"/>
          <a:ext cx="1029600" cy="102960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</xdr:row>
      <xdr:rowOff>104775</xdr:rowOff>
    </xdr:from>
    <xdr:to>
      <xdr:col>6</xdr:col>
      <xdr:colOff>629550</xdr:colOff>
      <xdr:row>8</xdr:row>
      <xdr:rowOff>181875</xdr:rowOff>
    </xdr:to>
    <xdr:pic>
      <xdr:nvPicPr>
        <xdr:cNvPr id="31" name="Grafik 30" descr="Geldbörse Silhouette">
          <a:extLst>
            <a:ext uri="{FF2B5EF4-FFF2-40B4-BE49-F238E27FC236}">
              <a16:creationId xmlns:a16="http://schemas.microsoft.com/office/drawing/2014/main" id="{7DE15FD1-3EE8-5F2E-3576-21FAEE691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171950" y="676275"/>
          <a:ext cx="1029600" cy="1029600"/>
        </a:xfrm>
        <a:prstGeom prst="rect">
          <a:avLst/>
        </a:prstGeom>
      </xdr:spPr>
    </xdr:pic>
    <xdr:clientData/>
  </xdr:twoCellAnchor>
  <xdr:twoCellAnchor editAs="oneCell">
    <xdr:from>
      <xdr:col>14</xdr:col>
      <xdr:colOff>361950</xdr:colOff>
      <xdr:row>3</xdr:row>
      <xdr:rowOff>57150</xdr:rowOff>
    </xdr:from>
    <xdr:to>
      <xdr:col>15</xdr:col>
      <xdr:colOff>629550</xdr:colOff>
      <xdr:row>8</xdr:row>
      <xdr:rowOff>134250</xdr:rowOff>
    </xdr:to>
    <xdr:pic>
      <xdr:nvPicPr>
        <xdr:cNvPr id="33" name="Grafik 32" descr="Sparschwein Silhouette">
          <a:extLst>
            <a:ext uri="{FF2B5EF4-FFF2-40B4-BE49-F238E27FC236}">
              <a16:creationId xmlns:a16="http://schemas.microsoft.com/office/drawing/2014/main" id="{384FA7CC-014B-A2B4-502E-85CD00EC8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1029950" y="628650"/>
          <a:ext cx="1029600" cy="1029600"/>
        </a:xfrm>
        <a:prstGeom prst="rect">
          <a:avLst/>
        </a:prstGeom>
      </xdr:spPr>
    </xdr:pic>
    <xdr:clientData/>
  </xdr:twoCellAnchor>
  <xdr:twoCellAnchor editAs="oneCell">
    <xdr:from>
      <xdr:col>10</xdr:col>
      <xdr:colOff>64275</xdr:colOff>
      <xdr:row>3</xdr:row>
      <xdr:rowOff>102375</xdr:rowOff>
    </xdr:from>
    <xdr:to>
      <xdr:col>11</xdr:col>
      <xdr:colOff>331875</xdr:colOff>
      <xdr:row>8</xdr:row>
      <xdr:rowOff>179475</xdr:rowOff>
    </xdr:to>
    <xdr:pic>
      <xdr:nvPicPr>
        <xdr:cNvPr id="35" name="Grafik 34" descr="Transfer1 Silhouette">
          <a:extLst>
            <a:ext uri="{FF2B5EF4-FFF2-40B4-BE49-F238E27FC236}">
              <a16:creationId xmlns:a16="http://schemas.microsoft.com/office/drawing/2014/main" id="{1A90CB62-1BEC-6EC5-8D6C-2CDF42B36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7684275" y="673875"/>
          <a:ext cx="1029600" cy="1029600"/>
        </a:xfrm>
        <a:prstGeom prst="rect">
          <a:avLst/>
        </a:prstGeom>
      </xdr:spPr>
    </xdr:pic>
    <xdr:clientData/>
  </xdr:twoCellAnchor>
  <xdr:twoCellAnchor editAs="oneCell">
    <xdr:from>
      <xdr:col>18</xdr:col>
      <xdr:colOff>645300</xdr:colOff>
      <xdr:row>3</xdr:row>
      <xdr:rowOff>92850</xdr:rowOff>
    </xdr:from>
    <xdr:to>
      <xdr:col>20</xdr:col>
      <xdr:colOff>150900</xdr:colOff>
      <xdr:row>8</xdr:row>
      <xdr:rowOff>169950</xdr:rowOff>
    </xdr:to>
    <xdr:pic>
      <xdr:nvPicPr>
        <xdr:cNvPr id="39" name="Grafik 38" descr="Signal Silhouette">
          <a:extLst>
            <a:ext uri="{FF2B5EF4-FFF2-40B4-BE49-F238E27FC236}">
              <a16:creationId xmlns:a16="http://schemas.microsoft.com/office/drawing/2014/main" id="{CBAF7996-5F80-DE22-BA52-497AA7A50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4361300" y="664350"/>
          <a:ext cx="1029600" cy="1029600"/>
        </a:xfrm>
        <a:prstGeom prst="rect">
          <a:avLst/>
        </a:prstGeom>
      </xdr:spPr>
    </xdr:pic>
    <xdr:clientData/>
  </xdr:twoCellAnchor>
  <xdr:twoCellAnchor>
    <xdr:from>
      <xdr:col>10</xdr:col>
      <xdr:colOff>76198</xdr:colOff>
      <xdr:row>22</xdr:row>
      <xdr:rowOff>57150</xdr:rowOff>
    </xdr:from>
    <xdr:to>
      <xdr:col>22</xdr:col>
      <xdr:colOff>457199</xdr:colOff>
      <xdr:row>34</xdr:row>
      <xdr:rowOff>171450</xdr:rowOff>
    </xdr:to>
    <xdr:graphicFrame macro="">
      <xdr:nvGraphicFramePr>
        <xdr:cNvPr id="40" name="Diagramm 39">
          <a:extLst>
            <a:ext uri="{FF2B5EF4-FFF2-40B4-BE49-F238E27FC236}">
              <a16:creationId xmlns:a16="http://schemas.microsoft.com/office/drawing/2014/main" id="{BD381C4E-6FFD-44A6-80A1-7D9C4733B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295275</xdr:colOff>
      <xdr:row>9</xdr:row>
      <xdr:rowOff>104775</xdr:rowOff>
    </xdr:from>
    <xdr:to>
      <xdr:col>22</xdr:col>
      <xdr:colOff>419101</xdr:colOff>
      <xdr:row>21</xdr:row>
      <xdr:rowOff>76198</xdr:rowOff>
    </xdr:to>
    <xdr:graphicFrame macro="">
      <xdr:nvGraphicFramePr>
        <xdr:cNvPr id="43" name="Diagramm 42">
          <a:extLst>
            <a:ext uri="{FF2B5EF4-FFF2-40B4-BE49-F238E27FC236}">
              <a16:creationId xmlns:a16="http://schemas.microsoft.com/office/drawing/2014/main" id="{FDD115F0-59B4-4C48-90B0-1EEA28CC9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295275</xdr:colOff>
      <xdr:row>24</xdr:row>
      <xdr:rowOff>28575</xdr:rowOff>
    </xdr:from>
    <xdr:to>
      <xdr:col>9</xdr:col>
      <xdr:colOff>257175</xdr:colOff>
      <xdr:row>34</xdr:row>
      <xdr:rowOff>114300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FE3F3183-DFEC-F509-65DF-8D5BEA3FE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oneCellAnchor>
    <xdr:from>
      <xdr:col>3</xdr:col>
      <xdr:colOff>466725</xdr:colOff>
      <xdr:row>10</xdr:row>
      <xdr:rowOff>76200</xdr:rowOff>
    </xdr:from>
    <xdr:ext cx="2709973" cy="468013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7F39C36A-3721-B30A-C340-B3A3E774ED6D}"/>
            </a:ext>
          </a:extLst>
        </xdr:cNvPr>
        <xdr:cNvSpPr txBox="1"/>
      </xdr:nvSpPr>
      <xdr:spPr>
        <a:xfrm>
          <a:off x="2752725" y="1981200"/>
          <a:ext cx="270997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2400" b="1">
              <a:solidFill>
                <a:srgbClr val="7BDCB5"/>
              </a:solidFill>
            </a:rPr>
            <a:t>Ausgabenverteilung</a:t>
          </a:r>
          <a:endParaRPr lang="de-DE" sz="1100" b="1">
            <a:solidFill>
              <a:srgbClr val="7BDCB5"/>
            </a:solidFill>
          </a:endParaRPr>
        </a:p>
      </xdr:txBody>
    </xdr:sp>
    <xdr:clientData/>
  </xdr:oneCellAnchor>
  <xdr:twoCellAnchor>
    <xdr:from>
      <xdr:col>5</xdr:col>
      <xdr:colOff>19050</xdr:colOff>
      <xdr:row>11</xdr:row>
      <xdr:rowOff>171450</xdr:rowOff>
    </xdr:from>
    <xdr:to>
      <xdr:col>10</xdr:col>
      <xdr:colOff>95250</xdr:colOff>
      <xdr:row>24</xdr:row>
      <xdr:rowOff>66675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4AB46B1D-4435-5BB2-C72E-FB589907D2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438151</xdr:colOff>
      <xdr:row>12</xdr:row>
      <xdr:rowOff>0</xdr:rowOff>
    </xdr:from>
    <xdr:to>
      <xdr:col>6</xdr:col>
      <xdr:colOff>400051</xdr:colOff>
      <xdr:row>34</xdr:row>
      <xdr:rowOff>57150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E86F549-0310-408A-AC6D-DBC214CBD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47625</xdr:rowOff>
    </xdr:from>
    <xdr:to>
      <xdr:col>0</xdr:col>
      <xdr:colOff>733425</xdr:colOff>
      <xdr:row>3</xdr:row>
      <xdr:rowOff>184974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8C9D3D6F-25F4-4D03-AA33-5D3D3B7E7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7625"/>
          <a:ext cx="657225" cy="708849"/>
        </a:xfrm>
        <a:prstGeom prst="rect">
          <a:avLst/>
        </a:prstGeom>
      </xdr:spPr>
    </xdr:pic>
    <xdr:clientData/>
  </xdr:twoCellAnchor>
  <xdr:twoCellAnchor>
    <xdr:from>
      <xdr:col>9</xdr:col>
      <xdr:colOff>704850</xdr:colOff>
      <xdr:row>10</xdr:row>
      <xdr:rowOff>66675</xdr:rowOff>
    </xdr:from>
    <xdr:to>
      <xdr:col>13</xdr:col>
      <xdr:colOff>561976</xdr:colOff>
      <xdr:row>21</xdr:row>
      <xdr:rowOff>95251</xdr:rowOff>
    </xdr:to>
    <xdr:sp macro="" textlink="">
      <xdr:nvSpPr>
        <xdr:cNvPr id="12" name="Rechteck: abgerundete Ecken 11">
          <a:extLst>
            <a:ext uri="{FF2B5EF4-FFF2-40B4-BE49-F238E27FC236}">
              <a16:creationId xmlns:a16="http://schemas.microsoft.com/office/drawing/2014/main" id="{414F8FC9-B1AA-CF23-4336-1B33924E80E3}"/>
            </a:ext>
          </a:extLst>
        </xdr:cNvPr>
        <xdr:cNvSpPr/>
      </xdr:nvSpPr>
      <xdr:spPr>
        <a:xfrm>
          <a:off x="7562850" y="1971675"/>
          <a:ext cx="2905126" cy="2124076"/>
        </a:xfrm>
        <a:prstGeom prst="roundRect">
          <a:avLst>
            <a:gd name="adj" fmla="val 12183"/>
          </a:avLst>
        </a:prstGeom>
        <a:solidFill>
          <a:srgbClr val="0C384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indent="0" algn="r"/>
          <a:endParaRPr lang="de-DE" sz="3200" b="1" i="0" u="none" strike="noStrike">
            <a:solidFill>
              <a:srgbClr val="7BDCB5"/>
            </a:solidFill>
            <a:latin typeface="Aptos Narrow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628650</xdr:colOff>
      <xdr:row>15</xdr:row>
      <xdr:rowOff>19050</xdr:rowOff>
    </xdr:from>
    <xdr:to>
      <xdr:col>13</xdr:col>
      <xdr:colOff>665850</xdr:colOff>
      <xdr:row>21</xdr:row>
      <xdr:rowOff>28050</xdr:rowOff>
    </xdr:to>
    <xdr:graphicFrame macro="">
      <xdr:nvGraphicFramePr>
        <xdr:cNvPr id="26" name="Diagramm 25">
          <a:extLst>
            <a:ext uri="{FF2B5EF4-FFF2-40B4-BE49-F238E27FC236}">
              <a16:creationId xmlns:a16="http://schemas.microsoft.com/office/drawing/2014/main" id="{E02A9A04-DFC1-42C2-AD7E-E440BC5E6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619125</xdr:colOff>
      <xdr:row>10</xdr:row>
      <xdr:rowOff>47625</xdr:rowOff>
    </xdr:from>
    <xdr:to>
      <xdr:col>13</xdr:col>
      <xdr:colOff>656325</xdr:colOff>
      <xdr:row>16</xdr:row>
      <xdr:rowOff>56625</xdr:rowOff>
    </xdr:to>
    <xdr:graphicFrame macro="">
      <xdr:nvGraphicFramePr>
        <xdr:cNvPr id="28" name="Diagramm 27">
          <a:extLst>
            <a:ext uri="{FF2B5EF4-FFF2-40B4-BE49-F238E27FC236}">
              <a16:creationId xmlns:a16="http://schemas.microsoft.com/office/drawing/2014/main" id="{C19107FE-D9F4-410D-83A1-1EE293AD4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133351</xdr:colOff>
      <xdr:row>0</xdr:row>
      <xdr:rowOff>0</xdr:rowOff>
    </xdr:from>
    <xdr:to>
      <xdr:col>1</xdr:col>
      <xdr:colOff>542925</xdr:colOff>
      <xdr:row>2</xdr:row>
      <xdr:rowOff>3596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362B3EB3-9C77-4FBC-8C25-E700E96A1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0"/>
          <a:ext cx="409574" cy="44174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47CC99-10E7-40E2-B953-178312768DD7}" name="Einnahmen" displayName="Einnahmen" ref="B8:O17" totalsRowCount="1">
  <autoFilter ref="B8:O16" xr:uid="{7A47CC99-10E7-40E2-B953-178312768DD7}"/>
  <tableColumns count="14">
    <tableColumn id="1" xr3:uid="{FB978518-962D-4A74-9482-588837F7B106}" name="Einkommensart" totalsRowLabel="Gesamte Einnahmen" totalsRowDxfId="55"/>
    <tableColumn id="2" xr3:uid="{3A5F8E8D-4AEC-467F-985C-1DC95F9FA27F}" name="Januar" totalsRowFunction="sum" totalsRowDxfId="54"/>
    <tableColumn id="3" xr3:uid="{2204D9F7-F49E-4D9A-BF63-D9996760DAD3}" name="Februar" totalsRowFunction="sum" totalsRowDxfId="53"/>
    <tableColumn id="4" xr3:uid="{780AD540-D9DD-4D90-97C2-0697E6B15E71}" name="März" totalsRowFunction="sum" totalsRowDxfId="52"/>
    <tableColumn id="5" xr3:uid="{1AFB2B8C-F825-4CF2-B6D0-B0132328A08D}" name="April" totalsRowFunction="sum" totalsRowDxfId="51"/>
    <tableColumn id="6" xr3:uid="{F836AF46-2CB5-4D66-805D-6B89348BAF51}" name="Mai" totalsRowFunction="sum" totalsRowDxfId="50"/>
    <tableColumn id="7" xr3:uid="{602A42F5-F407-4236-84FC-0F0E5AAB84BB}" name="Juni" totalsRowFunction="sum" totalsRowDxfId="49"/>
    <tableColumn id="8" xr3:uid="{61418506-649C-42E0-A4F7-02DB622AD97F}" name="Juli" totalsRowFunction="sum" totalsRowDxfId="48"/>
    <tableColumn id="9" xr3:uid="{EEDBF03D-9643-464C-B003-607D4BEF1EFE}" name="August" totalsRowFunction="sum" totalsRowDxfId="47"/>
    <tableColumn id="10" xr3:uid="{C64A5930-859D-4E55-BE48-7B15A0888111}" name="September" totalsRowFunction="sum" totalsRowDxfId="46"/>
    <tableColumn id="11" xr3:uid="{1DBB7E17-10A1-4C5F-9A03-FE32E117446F}" name="Oktober" totalsRowFunction="sum" totalsRowDxfId="45"/>
    <tableColumn id="12" xr3:uid="{FDC0BD1F-36B6-4BC3-B237-CEB05B8A34BE}" name="November" totalsRowFunction="sum" totalsRowDxfId="44"/>
    <tableColumn id="13" xr3:uid="{960F444C-E9F1-44A6-A889-210678CFEC34}" name="Dezember" totalsRowFunction="sum" totalsRowDxfId="43"/>
    <tableColumn id="14" xr3:uid="{DE63D19D-7DD8-49A2-8FE5-5DFEAB7918B3}" name="Gesamt" totalsRowFunction="sum" totalsRowDxfId="42">
      <calculatedColumnFormula>SUM(Einnahmen[[#This Row],[Januar]:[Dezember]])</calculatedColumnFormula>
    </tableColumn>
  </tableColumns>
  <tableStyleInfo name="TableStyleMedium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775E595-A2F2-4A3E-A640-4A6996C904EC}" name="Sonstige_Variable_Kosten" displayName="Sonstige_Variable_Kosten" ref="B119:P128" totalsRowCount="1">
  <autoFilter ref="B119:P127" xr:uid="{8775E595-A2F2-4A3E-A640-4A6996C904EC}"/>
  <tableColumns count="15">
    <tableColumn id="1" xr3:uid="{0D433A61-FB22-4533-9315-4176D1FE0056}" name="Sonstige Variable Kosten" totalsRowLabel="Gesamte Sonstige Variable Kosten" dataDxfId="105"/>
    <tableColumn id="2" xr3:uid="{BF390A66-187D-4E3F-8A50-0E3E6DFEDFA8}" name="Januar" totalsRowFunction="sum" dataDxfId="104" totalsRowDxfId="13"/>
    <tableColumn id="3" xr3:uid="{2A12B1E7-B6B3-4382-871A-74424625A682}" name="Februar" totalsRowFunction="sum" dataDxfId="103" totalsRowDxfId="12"/>
    <tableColumn id="4" xr3:uid="{2D8D8925-5BA3-4582-B4EC-AF28718A1B98}" name="März" totalsRowFunction="sum" dataDxfId="102" totalsRowDxfId="11"/>
    <tableColumn id="5" xr3:uid="{EEAEE775-FDB9-46F1-BDF2-9845AFE46ACA}" name="April" totalsRowFunction="sum" dataDxfId="101" totalsRowDxfId="10"/>
    <tableColumn id="6" xr3:uid="{6507EDAE-B8C4-4D3E-8221-E586F3F7AB57}" name="Mai" totalsRowFunction="sum" dataDxfId="100" totalsRowDxfId="9"/>
    <tableColumn id="7" xr3:uid="{DB1E9D48-BEEF-4A97-AD71-920E115AC81B}" name="Juni" totalsRowFunction="sum" dataDxfId="99" totalsRowDxfId="8"/>
    <tableColumn id="8" xr3:uid="{D83B03C7-5A03-44F9-9F51-498B79196CB9}" name="Juli" totalsRowFunction="sum" dataDxfId="98" totalsRowDxfId="7"/>
    <tableColumn id="9" xr3:uid="{B1E847D9-8EC9-4B96-B329-AC293FF765A6}" name="August" totalsRowFunction="sum" dataDxfId="97" totalsRowDxfId="6"/>
    <tableColumn id="10" xr3:uid="{B365C51A-8FF0-4E58-B960-977A0B3A3FFF}" name="September" totalsRowFunction="sum" dataDxfId="96" totalsRowDxfId="5"/>
    <tableColumn id="11" xr3:uid="{B66ED0F7-C878-40D5-AC83-D072441E314A}" name="Oktober" totalsRowFunction="sum" dataDxfId="95" totalsRowDxfId="4"/>
    <tableColumn id="12" xr3:uid="{182BB2E8-ADC2-4AD3-9DFD-2975AA3BE0CE}" name="November" totalsRowFunction="sum" dataDxfId="94" totalsRowDxfId="3"/>
    <tableColumn id="13" xr3:uid="{87FEB893-D653-45D3-9559-C9E1D6389073}" name="Dezember" totalsRowFunction="sum" dataDxfId="93" totalsRowDxfId="2"/>
    <tableColumn id="14" xr3:uid="{152E4E8F-0C1A-496B-8717-1808D1394AD4}" name="Gesamt" totalsRowFunction="sum" dataDxfId="92" totalsRowDxfId="1">
      <calculatedColumnFormula>SUM(Sonstige_Variable_Kosten[[#This Row],[Januar]:[Dezember]])</calculatedColumnFormula>
    </tableColumn>
    <tableColumn id="15" xr3:uid="{93C01678-E0A2-41CE-9FE6-F9A1186BC4F6}" name="%" totalsRowFunction="custom" dataDxfId="91" totalsRowDxfId="0" dataCellStyle="Prozent">
      <calculatedColumnFormula>O120/$O$138</calculatedColumnFormula>
      <totalsRowFormula>O128/$O$138</totalsRowFormula>
    </tableColumn>
  </tableColumns>
  <tableStyleInfo name="TableStyleMedium3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8FC5429-0567-4E76-A9E6-2A45ACB82348}" name="Investments13" displayName="Investments13" ref="B58:P61" totalsRowCount="1">
  <autoFilter ref="B58:P60" xr:uid="{38FC5429-0567-4E76-A9E6-2A45ACB82348}"/>
  <tableColumns count="15">
    <tableColumn id="1" xr3:uid="{1CA1A745-EBF7-4891-AEC6-844444087A8E}" name="Sparen" totalsRowLabel="Gesamte Sparkosten" dataDxfId="90"/>
    <tableColumn id="2" xr3:uid="{72C6C75A-697B-48FB-869C-C7B2C447464D}" name="Januar" totalsRowFunction="sum" dataDxfId="89" totalsRowDxfId="88"/>
    <tableColumn id="3" xr3:uid="{9D8736E0-6DBC-41DE-A22A-3056EA85B122}" name="Februar" totalsRowFunction="sum" dataDxfId="87" totalsRowDxfId="86"/>
    <tableColumn id="4" xr3:uid="{EA35543B-69B9-4CD8-87B8-48FB04C907CF}" name="März" totalsRowFunction="sum" dataDxfId="85" totalsRowDxfId="84"/>
    <tableColumn id="5" xr3:uid="{C79671F4-E741-4566-BC03-B087858C5274}" name="April" totalsRowFunction="sum" dataDxfId="83" totalsRowDxfId="82"/>
    <tableColumn id="6" xr3:uid="{89FA4D29-DE33-48F7-9964-2DE3A4C458E1}" name="Mai" totalsRowFunction="sum" dataDxfId="81" totalsRowDxfId="80"/>
    <tableColumn id="7" xr3:uid="{BD67BBE7-6743-494A-803F-524FD82AD7A1}" name="Juni" totalsRowFunction="sum" dataDxfId="79" totalsRowDxfId="78"/>
    <tableColumn id="8" xr3:uid="{EACC7E3A-5C24-4947-A142-E1B389DC7ECC}" name="Juli" totalsRowFunction="sum" dataDxfId="77" totalsRowDxfId="76"/>
    <tableColumn id="9" xr3:uid="{B3FFF2C6-7122-4278-9D7C-E44C8CB801A5}" name="August" totalsRowFunction="sum" dataDxfId="75" totalsRowDxfId="74"/>
    <tableColumn id="10" xr3:uid="{203BCBAF-3715-42E6-B8DD-CB562384D5B9}" name="September" totalsRowFunction="sum" dataDxfId="73" totalsRowDxfId="72"/>
    <tableColumn id="11" xr3:uid="{FD8CD6BD-F98C-4D5A-80D7-26A08AA14305}" name="Oktober" totalsRowFunction="sum" dataDxfId="71" totalsRowDxfId="70"/>
    <tableColumn id="12" xr3:uid="{B03834CD-BFA8-4EE0-BF5D-0F1A0D9E70A0}" name="November" totalsRowFunction="sum" dataDxfId="69" totalsRowDxfId="68"/>
    <tableColumn id="13" xr3:uid="{D805792B-3080-4734-BBA1-92AAA6CF9B0E}" name="Dezember" totalsRowFunction="sum" dataDxfId="67" totalsRowDxfId="66"/>
    <tableColumn id="14" xr3:uid="{2A73FB9C-E751-4FD5-89AA-D2B2FB87CA09}" name="Gesamt" totalsRowFunction="sum" dataDxfId="65" totalsRowDxfId="64">
      <calculatedColumnFormula>SUM(Investments13[[#This Row],[Januar]:[Dezember]])</calculatedColumnFormula>
    </tableColumn>
    <tableColumn id="15" xr3:uid="{C4360EBA-E2DD-4F45-9373-38A78B9899C4}" name="%" totalsRowFunction="custom" dataDxfId="63" dataCellStyle="Prozent">
      <calculatedColumnFormula>O59/$O$138</calculatedColumnFormula>
      <totalsRowFormula>O61/$O$138</totalsRowFormula>
    </tableColumn>
  </tableColumns>
  <tableStyleInfo name="TableStyleMedium2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5D16B32-384F-47F7-8432-A3A667B871D2}" name="Tabelle11" displayName="Tabelle11" ref="B145:E150" totalsRowCount="1">
  <autoFilter ref="B145:E149" xr:uid="{C5D16B32-384F-47F7-8432-A3A667B871D2}"/>
  <tableColumns count="4">
    <tableColumn id="1" xr3:uid="{3789FEFF-DFB1-470B-9ACF-EE694735A2A0}" name="4-Konten-Modell" totalsRowLabel="Gesamtergebnis" dataDxfId="62"/>
    <tableColumn id="2" xr3:uid="{936EEF38-4CF6-4F5D-AC33-09CDFC2E0598}" name="Wert" totalsRowFunction="sum" dataDxfId="61" totalsRowDxfId="60"/>
    <tableColumn id="3" xr3:uid="{719F7649-99BF-4E61-8A97-ACFFF64B9204}" name="Aktuell %" totalsRowFunction="sum" dataDxfId="59" totalsRowDxfId="58" dataCellStyle="Prozent" totalsRowCellStyle="Prozent">
      <calculatedColumnFormula>C146/$O$135</calculatedColumnFormula>
    </tableColumn>
    <tableColumn id="4" xr3:uid="{2C8A018E-86FE-480B-A84E-B2FBF4FCD95B}" name="Empfohlen %" totalsRowFunction="sum" dataDxfId="57" totalsRowDxfId="56" dataCellStyle="Prozent" totalsRowCellStyle="Prozent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E47FDA-8910-4176-A845-6032ADC0F75F}" name="Wohnen" displayName="Wohnen" ref="B23:P30" totalsRowCount="1">
  <autoFilter ref="B23:P29" xr:uid="{52E47FDA-8910-4176-A845-6032ADC0F75F}"/>
  <tableColumns count="15">
    <tableColumn id="1" xr3:uid="{1413501E-790F-46AB-9994-4F46FB7ABE92}" name="Wohnen" totalsRowLabel="Gesamte Wohnkosten" dataDxfId="303"/>
    <tableColumn id="2" xr3:uid="{1FB9F71D-075F-4407-9B93-1D2FC7FDEA41}" name="Januar" totalsRowFunction="sum" dataDxfId="302" totalsRowDxfId="41"/>
    <tableColumn id="3" xr3:uid="{59EA3ACA-D2A4-4ECC-8D0A-8E4766F6B6C1}" name="Februar" totalsRowFunction="sum" dataDxfId="301" totalsRowDxfId="40"/>
    <tableColumn id="4" xr3:uid="{23989979-5E1C-4126-BC2A-CF76004C666A}" name="März" totalsRowFunction="sum" dataDxfId="300" totalsRowDxfId="39"/>
    <tableColumn id="5" xr3:uid="{D3A721F6-E5A4-4FC4-9546-FC57822876D5}" name="April" totalsRowFunction="sum" dataDxfId="299" totalsRowDxfId="38"/>
    <tableColumn id="6" xr3:uid="{85021B2B-0902-4DD2-8ADB-B439B5E07FFE}" name="Mai" totalsRowFunction="sum" dataDxfId="298" totalsRowDxfId="37"/>
    <tableColumn id="7" xr3:uid="{A4EBFAEE-A356-4C07-BDB8-BE5E58AC062C}" name="Juni" totalsRowFunction="sum" dataDxfId="297" totalsRowDxfId="36"/>
    <tableColumn id="8" xr3:uid="{15916F15-8DC1-4696-9478-5A566562BABF}" name="Juli" totalsRowFunction="sum" dataDxfId="296" totalsRowDxfId="35"/>
    <tableColumn id="9" xr3:uid="{A4265471-CDF2-4A21-AB2B-D033837BAA4C}" name="August" totalsRowFunction="sum" dataDxfId="295" totalsRowDxfId="34"/>
    <tableColumn id="10" xr3:uid="{61FFD57C-309B-4932-8ABB-67F3C24FE68B}" name="September" totalsRowFunction="sum" dataDxfId="294" totalsRowDxfId="33"/>
    <tableColumn id="11" xr3:uid="{7813055D-9632-4160-A0A7-4CCC87DD2B30}" name="Oktober" totalsRowFunction="sum" dataDxfId="293" totalsRowDxfId="32"/>
    <tableColumn id="12" xr3:uid="{FD818F0C-BA3C-4F64-94ED-707F0D8A9721}" name="November" totalsRowFunction="sum" dataDxfId="292" totalsRowDxfId="31"/>
    <tableColumn id="13" xr3:uid="{9C9E7793-CAC0-41F8-80C6-C5D1E1D00681}" name="Dezember" totalsRowFunction="sum" dataDxfId="291" totalsRowDxfId="30"/>
    <tableColumn id="14" xr3:uid="{6EBAA48E-B854-4E1F-B973-4F5DC151EAE8}" name="Gesamt" totalsRowFunction="sum" dataDxfId="290" totalsRowDxfId="29">
      <calculatedColumnFormula>SUM(Wohnen[[#This Row],[Januar]:[Dezember]])</calculatedColumnFormula>
    </tableColumn>
    <tableColumn id="15" xr3:uid="{31C565B4-5B33-40EA-9E83-23DF3FB4985F}" name="%" totalsRowFunction="custom" dataDxfId="289" totalsRowDxfId="28" dataCellStyle="Prozent" totalsRowCellStyle="Prozent">
      <calculatedColumnFormula>O24/$O$138</calculatedColumnFormula>
      <totalsRowFormula>O30/$O$138</totalsRowFormula>
    </tableColumn>
  </tableColumns>
  <tableStyleInfo name="TableStyleMedium2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85DD3-7B25-433B-B284-F4181323EAA9}" name="Versicherungen" displayName="Versicherungen" ref="B34:P46" totalsRowCount="1">
  <autoFilter ref="B34:P45" xr:uid="{5C985DD3-7B25-433B-B284-F4181323EAA9}"/>
  <tableColumns count="15">
    <tableColumn id="1" xr3:uid="{A8678E35-E2FD-49A0-AC91-EB8804697854}" name="Versicherungen" totalsRowLabel="Gesamte Versicherungskosten" dataDxfId="288"/>
    <tableColumn id="2" xr3:uid="{C3EF5F89-2E50-4726-B812-993D19DEC4AB}" name="Januar" totalsRowFunction="sum" dataDxfId="287" totalsRowDxfId="286"/>
    <tableColumn id="3" xr3:uid="{35BA5694-6C4E-4CE2-B1FA-A801D4CBC263}" name="Februar" totalsRowFunction="sum" dataDxfId="285" totalsRowDxfId="284"/>
    <tableColumn id="4" xr3:uid="{79E809FC-4956-4A09-8BF4-18A57ECCCBD4}" name="März" totalsRowFunction="sum" dataDxfId="283" totalsRowDxfId="282"/>
    <tableColumn id="5" xr3:uid="{9803B4B2-65DD-4CEF-BFD9-AFAFF17C477F}" name="April" totalsRowFunction="sum" dataDxfId="281" totalsRowDxfId="280"/>
    <tableColumn id="6" xr3:uid="{489AEE80-6717-47FE-AB75-EFF588DFAB7B}" name="Mai" totalsRowFunction="sum" dataDxfId="279" totalsRowDxfId="278"/>
    <tableColumn id="7" xr3:uid="{0E206565-2A2F-48A6-AFB1-C961DBC35B32}" name="Juni" totalsRowFunction="sum" dataDxfId="277" totalsRowDxfId="276"/>
    <tableColumn id="8" xr3:uid="{B3206DE2-235A-4330-9AC3-93F1E6E03974}" name="Juli" totalsRowFunction="sum" dataDxfId="275" totalsRowDxfId="274"/>
    <tableColumn id="9" xr3:uid="{A6D3E7B7-67C0-4A2A-B69B-5FC6D42C525D}" name="August" totalsRowFunction="sum" dataDxfId="273" totalsRowDxfId="272"/>
    <tableColumn id="10" xr3:uid="{B1A05AE4-164B-4D42-BAAF-F9913EDABFC8}" name="September" totalsRowFunction="sum" dataDxfId="271" totalsRowDxfId="270"/>
    <tableColumn id="11" xr3:uid="{95F9498C-D5D3-41EF-9AEC-65E86B5BA7ED}" name="Oktober" totalsRowFunction="sum" dataDxfId="269" totalsRowDxfId="268"/>
    <tableColumn id="12" xr3:uid="{C9B31047-FA54-4384-BC78-E7411D4CDA7E}" name="November" totalsRowFunction="sum" dataDxfId="267" totalsRowDxfId="266"/>
    <tableColumn id="13" xr3:uid="{5594139C-5016-4647-B1F3-B17C8CB14416}" name="Dezember" totalsRowFunction="sum" dataDxfId="265" totalsRowDxfId="264"/>
    <tableColumn id="14" xr3:uid="{F5792802-C4E3-453C-B376-10FF0E88B4E7}" name="Gesamt" totalsRowFunction="sum" dataDxfId="263" totalsRowDxfId="262">
      <calculatedColumnFormula>SUM(Versicherungen[[#This Row],[Januar]:[Dezember]])</calculatedColumnFormula>
    </tableColumn>
    <tableColumn id="15" xr3:uid="{5240FFF1-EBF1-4729-91AE-C4640124E9E3}" name="%" totalsRowFunction="custom" dataDxfId="261" dataCellStyle="Prozent">
      <calculatedColumnFormula>O35/$O$138</calculatedColumnFormula>
      <totalsRowFormula>O46/$O$138</totalsRowFormula>
    </tableColumn>
  </tableColumns>
  <tableStyleInfo name="TableStyleMedium2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974538D-DEE7-4443-831B-F885C69F7369}" name="Investments" displayName="Investments" ref="B50:P54" totalsRowCount="1">
  <autoFilter ref="B50:P53" xr:uid="{A974538D-DEE7-4443-831B-F885C69F7369}"/>
  <tableColumns count="15">
    <tableColumn id="1" xr3:uid="{628DAB0E-A1EA-42B9-B360-7224F82154D5}" name="Investments" totalsRowLabel="Gesamte Investmentkosten" dataDxfId="260"/>
    <tableColumn id="2" xr3:uid="{C708B562-E034-45A6-89BC-2E548CB4C462}" name="Januar" totalsRowFunction="sum" dataDxfId="259" totalsRowDxfId="27"/>
    <tableColumn id="3" xr3:uid="{19EFF8EA-7EE3-4F5A-9ACF-05B7A8892C1C}" name="Februar" totalsRowFunction="sum" dataDxfId="258" totalsRowDxfId="26"/>
    <tableColumn id="4" xr3:uid="{EDC1BE77-2C52-4231-A758-A53CA7D22DCE}" name="März" totalsRowFunction="sum" dataDxfId="257" totalsRowDxfId="25"/>
    <tableColumn id="5" xr3:uid="{95B906EF-A737-4124-98A0-D87E0DB058CB}" name="April" totalsRowFunction="sum" dataDxfId="256" totalsRowDxfId="24"/>
    <tableColumn id="6" xr3:uid="{E568C4D0-F31D-463C-9928-E1A64F6A548E}" name="Mai" totalsRowFunction="sum" dataDxfId="255" totalsRowDxfId="23"/>
    <tableColumn id="7" xr3:uid="{892EE90A-0F8B-4C0F-A7B0-2533D46679F5}" name="Juni" totalsRowFunction="sum" dataDxfId="254" totalsRowDxfId="22"/>
    <tableColumn id="8" xr3:uid="{1E946924-E21F-42FA-BC38-841591BEBE41}" name="Juli" totalsRowFunction="sum" dataDxfId="253" totalsRowDxfId="21"/>
    <tableColumn id="9" xr3:uid="{6EAD8FFD-8B45-4869-B31C-CCFA30DE0032}" name="August" totalsRowFunction="sum" dataDxfId="252" totalsRowDxfId="20"/>
    <tableColumn id="10" xr3:uid="{BA1C8639-3159-45F7-9E53-67985380C9FD}" name="September" totalsRowFunction="sum" dataDxfId="251" totalsRowDxfId="19"/>
    <tableColumn id="11" xr3:uid="{D665D2EE-EF98-4AAF-95E0-630EA1A77340}" name="Oktober" totalsRowFunction="sum" dataDxfId="250" totalsRowDxfId="18"/>
    <tableColumn id="12" xr3:uid="{E15DC0A3-7210-4E4D-8BA4-159AD53716B6}" name="November" totalsRowFunction="sum" dataDxfId="249" totalsRowDxfId="17"/>
    <tableColumn id="13" xr3:uid="{EFBEA800-82B6-4AF1-8111-16B068E55F24}" name="Dezember" totalsRowFunction="sum" dataDxfId="248" totalsRowDxfId="16"/>
    <tableColumn id="14" xr3:uid="{DE6E7F34-2E62-4E91-8F09-1F0260FFDCAF}" name="Gesamt" totalsRowFunction="sum" dataDxfId="247" totalsRowDxfId="15">
      <calculatedColumnFormula>SUM(Investments[[#This Row],[Januar]:[Dezember]])</calculatedColumnFormula>
    </tableColumn>
    <tableColumn id="15" xr3:uid="{4EC64B9B-5830-4123-9366-684E90B149E9}" name="%" totalsRowFunction="custom" dataDxfId="246" totalsRowDxfId="14" dataCellStyle="Prozent" totalsRowCellStyle="Prozent">
      <calculatedColumnFormula>O51/$O$138</calculatedColumnFormula>
      <totalsRowFormula>O54/$O$138</totalsRowFormula>
    </tableColumn>
  </tableColumns>
  <tableStyleInfo name="TableStyleMedium2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49DA888-BFDF-4DBB-A494-84941701D531}" name="Finanzierungen" displayName="Finanzierungen" ref="B65:P70" totalsRowCount="1">
  <autoFilter ref="B65:P69" xr:uid="{849DA888-BFDF-4DBB-A494-84941701D531}"/>
  <tableColumns count="15">
    <tableColumn id="1" xr3:uid="{38D252F5-2A05-4C54-88AB-FAF89B603A7E}" name="Finanzierungen" totalsRowLabel="Gesamte Finanzierungskosten" dataDxfId="245"/>
    <tableColumn id="2" xr3:uid="{13707839-B0BD-41E3-9114-44EAFF601671}" name="Januar" totalsRowFunction="sum" dataDxfId="244" totalsRowDxfId="243"/>
    <tableColumn id="3" xr3:uid="{46021B68-E7BB-4673-917B-5DAB4C990C2A}" name="Februar" totalsRowFunction="sum" dataDxfId="242" totalsRowDxfId="241"/>
    <tableColumn id="4" xr3:uid="{9D99AED5-DFCF-4F9F-B0B9-9525BC0E2F2F}" name="März" totalsRowFunction="sum" dataDxfId="240" totalsRowDxfId="239"/>
    <tableColumn id="5" xr3:uid="{00802104-38FE-4745-A5A1-DF123A088BE3}" name="April" totalsRowFunction="sum" dataDxfId="238" totalsRowDxfId="237"/>
    <tableColumn id="6" xr3:uid="{3B1FC7F4-043F-4469-A678-27AEA4330E1E}" name="Mai" totalsRowFunction="sum" dataDxfId="236" totalsRowDxfId="235"/>
    <tableColumn id="7" xr3:uid="{00131BA9-652E-485A-891F-45D3142F77CE}" name="Juni" totalsRowFunction="sum" dataDxfId="234" totalsRowDxfId="233"/>
    <tableColumn id="8" xr3:uid="{A1F3E1F5-696A-498D-A610-919A685DD173}" name="Juli" totalsRowFunction="sum" dataDxfId="232" totalsRowDxfId="231"/>
    <tableColumn id="9" xr3:uid="{B274A8AE-418F-4CC7-84A9-A3ABBCD7DD2B}" name="August" totalsRowFunction="sum" dataDxfId="230" totalsRowDxfId="229"/>
    <tableColumn id="10" xr3:uid="{97328D45-D75B-43BE-A989-A7FB631E5431}" name="September" totalsRowFunction="sum" dataDxfId="228" totalsRowDxfId="227"/>
    <tableColumn id="11" xr3:uid="{BA79CDBC-2B78-4327-9044-29C1EFC8BE58}" name="Oktober" totalsRowFunction="sum" dataDxfId="226" totalsRowDxfId="225"/>
    <tableColumn id="12" xr3:uid="{5B9ABCC2-3368-4FAD-A965-4731DA59958D}" name="November" totalsRowFunction="sum" dataDxfId="224" totalsRowDxfId="223"/>
    <tableColumn id="13" xr3:uid="{B9B0EBB2-3EA3-4E49-83FB-ACB40E8CC9BE}" name="Dezember" totalsRowFunction="sum" dataDxfId="222" totalsRowDxfId="221"/>
    <tableColumn id="14" xr3:uid="{C527B566-B1F8-49AA-857C-C0A15A9CEA4D}" name="Gesamt" totalsRowFunction="sum" dataDxfId="220" totalsRowDxfId="219">
      <calculatedColumnFormula>SUM(Finanzierungen[[#This Row],[Januar]:[Dezember]])</calculatedColumnFormula>
    </tableColumn>
    <tableColumn id="15" xr3:uid="{B4B4FA6B-DA67-40A3-B24E-7B283329E1E8}" name="%" totalsRowFunction="custom" dataDxfId="218" dataCellStyle="Prozent">
      <calculatedColumnFormula>O66/$O$138</calculatedColumnFormula>
      <totalsRowFormula>O70/$O$138</totalsRowFormula>
    </tableColumn>
  </tableColumns>
  <tableStyleInfo name="TableStyleMedium2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BD059F8-C247-4CB2-AF99-696EC138FDC5}" name="Sonstige_Fixkosten" displayName="Sonstige_Fixkosten" ref="B74:P87" totalsRowCount="1">
  <autoFilter ref="B74:P86" xr:uid="{8BD059F8-C247-4CB2-AF99-696EC138FDC5}"/>
  <tableColumns count="15">
    <tableColumn id="1" xr3:uid="{7B45DA24-F281-4CFD-BBA1-9F3E510EF0B9}" name="Sonstige Fixkosten" totalsRowLabel="Gesamte Sonstige Fixkosten" dataDxfId="217"/>
    <tableColumn id="2" xr3:uid="{3EC706CF-B799-4894-A06D-438593CBA9EF}" name="Januar" totalsRowFunction="sum" dataDxfId="216" totalsRowDxfId="215"/>
    <tableColumn id="3" xr3:uid="{709A92F1-3E6C-45BB-B980-1DAC204F1E79}" name="Februar" totalsRowFunction="sum" dataDxfId="214" totalsRowDxfId="213"/>
    <tableColumn id="4" xr3:uid="{73188F60-3FD9-4F10-A8E1-7461386758EB}" name="März" totalsRowFunction="sum" dataDxfId="212" totalsRowDxfId="211"/>
    <tableColumn id="5" xr3:uid="{87F5264E-302F-4FE0-A534-4471D0333EF1}" name="April" totalsRowFunction="sum" dataDxfId="210" totalsRowDxfId="209"/>
    <tableColumn id="6" xr3:uid="{D5B4E0B9-7294-4D44-810F-DFC1D9A09503}" name="Mai" totalsRowFunction="sum" dataDxfId="208" totalsRowDxfId="207"/>
    <tableColumn id="7" xr3:uid="{92A76F73-E894-44F9-8781-E625B6395DCA}" name="Juni" totalsRowFunction="sum" dataDxfId="206" totalsRowDxfId="205"/>
    <tableColumn id="8" xr3:uid="{DEBA867A-4352-45DB-B950-7E6527A56786}" name="Juli" totalsRowFunction="sum" dataDxfId="204" totalsRowDxfId="203"/>
    <tableColumn id="9" xr3:uid="{6F59F4E2-C35A-4CF9-844A-EA3A0CDB6554}" name="August" totalsRowFunction="sum" dataDxfId="202" totalsRowDxfId="201"/>
    <tableColumn id="10" xr3:uid="{69E8A908-6551-4B8B-9280-E7B670B7335F}" name="September" totalsRowFunction="sum" dataDxfId="200" totalsRowDxfId="199"/>
    <tableColumn id="11" xr3:uid="{F3E3D990-B87B-47AB-B798-4BD1C27804A1}" name="Oktober" totalsRowFunction="sum" dataDxfId="198" totalsRowDxfId="197"/>
    <tableColumn id="12" xr3:uid="{08FDC2D5-6305-4DBB-AE47-8D98CA471721}" name="November" totalsRowFunction="sum" dataDxfId="196" totalsRowDxfId="195"/>
    <tableColumn id="13" xr3:uid="{7E4880C2-60F2-4000-9491-B6CA80A5B00F}" name="Dezember" totalsRowFunction="sum" dataDxfId="194" totalsRowDxfId="193"/>
    <tableColumn id="14" xr3:uid="{72C88871-2239-442F-82B9-1D2763E3BC12}" name="Gesamt" totalsRowFunction="sum" dataDxfId="192" totalsRowDxfId="191">
      <calculatedColumnFormula>SUM(Sonstige_Fixkosten[[#This Row],[Januar]:[Dezember]])</calculatedColumnFormula>
    </tableColumn>
    <tableColumn id="15" xr3:uid="{E26879BC-DF80-49D2-B0E2-A50E2E689126}" name="%" totalsRowFunction="custom" dataDxfId="190" dataCellStyle="Prozent">
      <calculatedColumnFormula>O75/$O$138</calculatedColumnFormula>
      <totalsRowFormula>O87/$O$138</totalsRowFormula>
    </tableColumn>
  </tableColumns>
  <tableStyleInfo name="TableStyleMedium2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0A8A879-3A8E-400C-9F99-3CBB7AD96D5F}" name="Lebenshaltung" displayName="Lebenshaltung" ref="B94:P100" totalsRowCount="1">
  <autoFilter ref="B94:P99" xr:uid="{60A8A879-3A8E-400C-9F99-3CBB7AD96D5F}"/>
  <tableColumns count="15">
    <tableColumn id="1" xr3:uid="{561FAC14-BC26-49D0-A42E-957F1069F4EB}" name="Lebenshaltung" totalsRowLabel="Gesamte Lebenshaltungskosten" dataDxfId="189"/>
    <tableColumn id="2" xr3:uid="{F228742F-5250-4FFE-A481-FC6A8EB6FBEE}" name="Januar" totalsRowFunction="sum" dataDxfId="188" totalsRowDxfId="187"/>
    <tableColumn id="3" xr3:uid="{F038EA7E-11A0-4C0E-9645-9145C077C45A}" name="Februar" totalsRowFunction="sum" dataDxfId="186" totalsRowDxfId="185"/>
    <tableColumn id="4" xr3:uid="{341BA0C8-6ADB-4196-A8F2-04CE27A900B1}" name="März" totalsRowFunction="sum" dataDxfId="184" totalsRowDxfId="183"/>
    <tableColumn id="5" xr3:uid="{62097D9A-40A4-4EEE-BDCE-435DF3F81D82}" name="April" totalsRowFunction="sum" dataDxfId="182" totalsRowDxfId="181"/>
    <tableColumn id="6" xr3:uid="{76EEDB84-06B0-4935-BE09-AC681790BA64}" name="Mai" totalsRowFunction="sum" dataDxfId="180" totalsRowDxfId="179"/>
    <tableColumn id="7" xr3:uid="{CDA48DB5-B576-4089-9683-9B4C17119F72}" name="Juni" totalsRowFunction="sum" dataDxfId="178" totalsRowDxfId="177"/>
    <tableColumn id="8" xr3:uid="{C46FDE03-FAC6-4851-A0D0-B7CB629C1396}" name="Juli" totalsRowFunction="sum" dataDxfId="176" totalsRowDxfId="175"/>
    <tableColumn id="9" xr3:uid="{7A06DF68-30FD-46D8-9A04-9BD64FD29230}" name="August" totalsRowFunction="sum" dataDxfId="174" totalsRowDxfId="173"/>
    <tableColumn id="10" xr3:uid="{804BA82F-65A5-4DDC-A0E3-0313EF806CBF}" name="September" totalsRowFunction="sum" dataDxfId="172" totalsRowDxfId="171"/>
    <tableColumn id="11" xr3:uid="{AC3EBF0B-3098-4E2E-8DAD-C00DDD0D3F6A}" name="Oktober" totalsRowFunction="sum" dataDxfId="170" totalsRowDxfId="169"/>
    <tableColumn id="12" xr3:uid="{0A1BF683-374E-4A61-88FB-335DCF4449ED}" name="November" totalsRowFunction="sum" dataDxfId="168" totalsRowDxfId="167"/>
    <tableColumn id="13" xr3:uid="{30B4F535-B3EC-4B79-8DC5-D5C2EF39ED88}" name="Dezember" totalsRowFunction="sum" dataDxfId="166" totalsRowDxfId="165"/>
    <tableColumn id="14" xr3:uid="{F4363944-95F0-4601-90BA-057C57AE96D2}" name="Gesamt" totalsRowFunction="sum" dataDxfId="164" totalsRowDxfId="163">
      <calculatedColumnFormula>SUM(Lebenshaltung[[#This Row],[Januar]:[Dezember]])</calculatedColumnFormula>
    </tableColumn>
    <tableColumn id="15" xr3:uid="{D9F99166-DB2B-49C9-A1BB-536C2E71FD14}" name="%" totalsRowFunction="custom" dataDxfId="162" dataCellStyle="Prozent">
      <calculatedColumnFormula>O95/$O$138</calculatedColumnFormula>
      <totalsRowFormula>O100/$O$138</totalsRowFormula>
    </tableColumn>
  </tableColumns>
  <tableStyleInfo name="TableStyleMedium3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CEA76DD-55BF-47F8-9724-A7E8E661E2A9}" name="Mobilität" displayName="Mobilität" ref="B104:P107" totalsRowCount="1">
  <autoFilter ref="B104:P106" xr:uid="{BCEA76DD-55BF-47F8-9724-A7E8E661E2A9}"/>
  <tableColumns count="15">
    <tableColumn id="1" xr3:uid="{795068E2-412D-481A-84F0-71AF4E458F5D}" name="Mobilität" totalsRowLabel="Gesamte Mobilitätskosten" dataDxfId="161"/>
    <tableColumn id="2" xr3:uid="{7CCC6B74-7166-42FF-BF0C-E9C94519AD63}" name="Januar" totalsRowFunction="sum" dataDxfId="160" totalsRowDxfId="159"/>
    <tableColumn id="3" xr3:uid="{10AD7435-836B-4467-B0ED-77C3B0A6C363}" name="Februar" totalsRowFunction="sum" dataDxfId="158" totalsRowDxfId="157"/>
    <tableColumn id="4" xr3:uid="{21964C59-E14E-41EA-9233-08E726FF2640}" name="März" totalsRowFunction="sum" dataDxfId="156" totalsRowDxfId="155"/>
    <tableColumn id="5" xr3:uid="{53453805-3BF9-43E7-86A0-BAE86E3D9282}" name="April" totalsRowFunction="sum" dataDxfId="154" totalsRowDxfId="153"/>
    <tableColumn id="6" xr3:uid="{1E8E4DA5-E946-4B4D-8BFE-9F354F29F6E9}" name="Mai" totalsRowFunction="sum" dataDxfId="152" totalsRowDxfId="151"/>
    <tableColumn id="7" xr3:uid="{D0110769-5D85-4A2F-946F-E80B558430BB}" name="Juni" totalsRowFunction="sum" dataDxfId="150" totalsRowDxfId="149"/>
    <tableColumn id="8" xr3:uid="{72819D7B-6C01-42F3-88D7-3B5A8BD90184}" name="Juli" totalsRowFunction="sum" dataDxfId="148" totalsRowDxfId="147"/>
    <tableColumn id="9" xr3:uid="{F7819B74-1642-4616-82C0-7EC2C8AC3935}" name="August" totalsRowFunction="sum" dataDxfId="146" totalsRowDxfId="145"/>
    <tableColumn id="10" xr3:uid="{86A05A0A-7298-41B5-8F71-A5AA10D8AD42}" name="September" totalsRowFunction="sum" dataDxfId="144" totalsRowDxfId="143"/>
    <tableColumn id="11" xr3:uid="{5CFB90D9-2CB5-42CB-AA33-A375EEF8C005}" name="Oktober" totalsRowFunction="sum" dataDxfId="142" totalsRowDxfId="141"/>
    <tableColumn id="12" xr3:uid="{F327C0F4-6E61-4A04-A4CF-9880F1C110C5}" name="November" totalsRowFunction="sum" dataDxfId="140" totalsRowDxfId="139"/>
    <tableColumn id="13" xr3:uid="{C5962287-5EA9-4747-B89A-BD41DCF2CF4E}" name="Dezember" totalsRowFunction="sum" dataDxfId="138" totalsRowDxfId="137"/>
    <tableColumn id="14" xr3:uid="{F17F6A3D-1DE7-4DA5-9311-BEE9E964A3D3}" name="Gesamt" totalsRowFunction="sum" dataDxfId="136" totalsRowDxfId="135">
      <calculatedColumnFormula>SUM(Mobilität[[#This Row],[Januar]:[Dezember]])</calculatedColumnFormula>
    </tableColumn>
    <tableColumn id="15" xr3:uid="{3F32EF8B-CEB7-41C9-B4B5-63500BB47A09}" name="%" totalsRowFunction="custom" dataDxfId="134" dataCellStyle="Prozent">
      <calculatedColumnFormula>O105/$O$138</calculatedColumnFormula>
      <totalsRowFormula>O107/$O$138</totalsRowFormula>
    </tableColumn>
  </tableColumns>
  <tableStyleInfo name="TableStyleMedium3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1CFB89A-D0B5-461D-8615-32CBFB271C8D}" name="Entertainment" displayName="Entertainment" ref="B111:P115" totalsRowCount="1">
  <autoFilter ref="B111:P114" xr:uid="{D1CFB89A-D0B5-461D-8615-32CBFB271C8D}"/>
  <tableColumns count="15">
    <tableColumn id="1" xr3:uid="{BAA5A1F2-D0D1-498E-9A1F-7E204B9B7A2C}" name="Entertainment" totalsRowLabel="Gesamte Entertainmentkosten" dataDxfId="133"/>
    <tableColumn id="2" xr3:uid="{9C654BEF-ABE0-4A1F-8FEE-30C4907672FA}" name="Januar" totalsRowFunction="sum" dataDxfId="132" totalsRowDxfId="131"/>
    <tableColumn id="3" xr3:uid="{1FF3BFA8-C383-4A65-9DFA-8C69D053E3BD}" name="Februar" totalsRowFunction="sum" dataDxfId="130" totalsRowDxfId="129"/>
    <tableColumn id="4" xr3:uid="{57A1AD34-44E1-4F65-97B8-00F7C9C0AAAE}" name="März" totalsRowFunction="sum" dataDxfId="128" totalsRowDxfId="127"/>
    <tableColumn id="5" xr3:uid="{94101737-41C6-48C0-8C86-193F2327AAEF}" name="April" totalsRowFunction="sum" dataDxfId="126" totalsRowDxfId="125"/>
    <tableColumn id="6" xr3:uid="{339E8EDA-4D89-4AF8-B8E9-8AE14F8FBE2D}" name="Mai" totalsRowFunction="sum" dataDxfId="124" totalsRowDxfId="123"/>
    <tableColumn id="7" xr3:uid="{7BEAD354-DE34-4BD7-B58F-61CDF2DB9D87}" name="Juni" totalsRowFunction="sum" dataDxfId="122" totalsRowDxfId="121"/>
    <tableColumn id="8" xr3:uid="{5967F357-7499-4EAF-806B-4A55DF37DF94}" name="Juli" totalsRowFunction="sum" dataDxfId="120" totalsRowDxfId="119"/>
    <tableColumn id="9" xr3:uid="{B83D2EFA-023C-404C-B18D-4A426E4F573E}" name="August" totalsRowFunction="sum" dataDxfId="118" totalsRowDxfId="117"/>
    <tableColumn id="10" xr3:uid="{C59C6739-B5A6-4D70-807E-DE7909929DFE}" name="September" totalsRowFunction="sum" dataDxfId="116" totalsRowDxfId="115"/>
    <tableColumn id="11" xr3:uid="{59BBAF9C-E012-4D35-8D74-0D1A0EB30C91}" name="Oktober" totalsRowFunction="sum" dataDxfId="114" totalsRowDxfId="113"/>
    <tableColumn id="12" xr3:uid="{EFE4F6BC-EF1C-4649-82DD-1B4230889E22}" name="November" totalsRowFunction="sum" dataDxfId="112" totalsRowDxfId="111"/>
    <tableColumn id="13" xr3:uid="{B91C24BD-5A60-4FBD-81B4-67B9911F11D9}" name="Dezember" totalsRowFunction="sum" dataDxfId="110" totalsRowDxfId="109"/>
    <tableColumn id="14" xr3:uid="{8F5F973D-D266-4E23-8057-702038399450}" name="Gesamt" totalsRowFunction="sum" dataDxfId="108" totalsRowDxfId="107">
      <calculatedColumnFormula>SUM(Entertainment[[#This Row],[Januar]:[Dezember]])</calculatedColumnFormula>
    </tableColumn>
    <tableColumn id="15" xr3:uid="{ABB785D5-6E01-4FBE-A74D-A3F6ED4296C1}" name="%" totalsRowFunction="custom" dataDxfId="106" dataCellStyle="Prozent">
      <calculatedColumnFormula>O112/$O$138</calculatedColumnFormula>
      <totalsRowFormula>O115/$O$138</totalsRowFormula>
    </tableColumn>
  </tableColumns>
  <tableStyleInfo name="TableStyleMedium30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2.xml"/><Relationship Id="rId1" Type="http://schemas.openxmlformats.org/officeDocument/2006/relationships/hyperlink" Target="https://fainance.de/" TargetMode="Externa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491F1-EF0E-4699-9834-3705A68D52D9}">
  <dimension ref="A1"/>
  <sheetViews>
    <sheetView showGridLines="0" tabSelected="1" workbookViewId="0">
      <selection activeCell="C6" sqref="C6"/>
    </sheetView>
  </sheetViews>
  <sheetFormatPr baseColWidth="10" defaultRowHeight="15" x14ac:dyDescent="0.25"/>
  <cols>
    <col min="1" max="16384" width="11.42578125" style="22"/>
  </cols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F900D-3B0A-4A7C-BA65-A9867F9B837F}">
  <sheetPr codeName="Tabelle1"/>
  <dimension ref="A1:W150"/>
  <sheetViews>
    <sheetView showGridLines="0" workbookViewId="0">
      <pane ySplit="4" topLeftCell="A5" activePane="bottomLeft" state="frozen"/>
      <selection pane="bottomLeft" activeCell="B3" sqref="B3"/>
    </sheetView>
  </sheetViews>
  <sheetFormatPr baseColWidth="10" defaultRowHeight="15" x14ac:dyDescent="0.25"/>
  <cols>
    <col min="1" max="1" width="5.85546875" customWidth="1"/>
    <col min="2" max="2" width="32.42578125" bestFit="1" customWidth="1"/>
    <col min="5" max="5" width="15" customWidth="1"/>
    <col min="11" max="11" width="13.140625" customWidth="1"/>
    <col min="13" max="13" width="12.5703125" customWidth="1"/>
    <col min="14" max="14" width="12.42578125" customWidth="1"/>
    <col min="16" max="16" width="7" customWidth="1"/>
    <col min="17" max="17" width="3" customWidth="1"/>
    <col min="18" max="18" width="11.42578125" style="11"/>
    <col min="19" max="19" width="11.42578125" style="12" customWidth="1"/>
    <col min="20" max="20" width="13.28515625" style="12" bestFit="1" customWidth="1"/>
    <col min="21" max="21" width="15" style="10" bestFit="1" customWidth="1"/>
    <col min="22" max="22" width="11.42578125" style="12" customWidth="1"/>
  </cols>
  <sheetData>
    <row r="1" spans="1:23" ht="17.25" customHeight="1" x14ac:dyDescent="0.25">
      <c r="A1" s="22"/>
      <c r="B1" s="60" t="s">
        <v>94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22"/>
      <c r="Q1" s="22"/>
      <c r="R1" s="23"/>
      <c r="S1" s="24"/>
      <c r="T1" s="24"/>
      <c r="U1" s="25"/>
      <c r="V1" s="24"/>
      <c r="W1" s="22"/>
    </row>
    <row r="2" spans="1:23" ht="17.25" customHeight="1" x14ac:dyDescent="0.25">
      <c r="A2" s="22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22"/>
      <c r="Q2" s="22"/>
      <c r="R2" s="28"/>
      <c r="S2" s="28"/>
      <c r="T2" s="28"/>
      <c r="U2" s="28"/>
      <c r="V2" s="28"/>
      <c r="W2" s="22"/>
    </row>
    <row r="3" spans="1:23" ht="17.25" customHeight="1" x14ac:dyDescent="0.25">
      <c r="B3" s="29" t="s">
        <v>95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R3" s="27" t="s">
        <v>43</v>
      </c>
      <c r="S3" s="27" t="s">
        <v>102</v>
      </c>
      <c r="T3" s="27" t="s">
        <v>44</v>
      </c>
      <c r="U3" s="27" t="s">
        <v>46</v>
      </c>
      <c r="V3" s="27" t="s">
        <v>103</v>
      </c>
    </row>
    <row r="4" spans="1:23" ht="17.25" customHeight="1" x14ac:dyDescent="0.25">
      <c r="R4" s="13"/>
      <c r="S4" s="21">
        <f>SUM(S24:S129)</f>
        <v>0</v>
      </c>
      <c r="T4" s="21">
        <f>SUM(T24:T129)</f>
        <v>0</v>
      </c>
      <c r="U4" s="18"/>
      <c r="V4" s="21">
        <f>SUM(V24:V129)</f>
        <v>0</v>
      </c>
    </row>
    <row r="5" spans="1:23" ht="17.25" customHeight="1" x14ac:dyDescent="0.25">
      <c r="R5" s="14"/>
      <c r="S5" s="15"/>
      <c r="T5" s="15"/>
      <c r="U5" s="19"/>
      <c r="V5" s="16"/>
    </row>
    <row r="6" spans="1:23" ht="26.25" x14ac:dyDescent="0.4">
      <c r="B6" s="30" t="s">
        <v>13</v>
      </c>
      <c r="R6" s="14"/>
      <c r="S6" s="15"/>
      <c r="T6" s="15"/>
      <c r="U6" s="19"/>
      <c r="V6" s="16"/>
    </row>
    <row r="7" spans="1:23" x14ac:dyDescent="0.25">
      <c r="O7" s="2"/>
      <c r="R7" s="14"/>
      <c r="S7" s="15"/>
      <c r="T7" s="15"/>
      <c r="U7" s="19"/>
      <c r="V7" s="16"/>
    </row>
    <row r="8" spans="1:23" x14ac:dyDescent="0.25">
      <c r="B8" t="s">
        <v>28</v>
      </c>
      <c r="C8" t="s">
        <v>0</v>
      </c>
      <c r="D8" t="s">
        <v>1</v>
      </c>
      <c r="E8" t="s">
        <v>2</v>
      </c>
      <c r="F8" t="s">
        <v>3</v>
      </c>
      <c r="G8" t="s">
        <v>4</v>
      </c>
      <c r="H8" t="s">
        <v>5</v>
      </c>
      <c r="I8" t="s">
        <v>6</v>
      </c>
      <c r="J8" t="s">
        <v>7</v>
      </c>
      <c r="K8" t="s">
        <v>8</v>
      </c>
      <c r="L8" t="s">
        <v>9</v>
      </c>
      <c r="M8" t="s">
        <v>10</v>
      </c>
      <c r="N8" t="s">
        <v>11</v>
      </c>
      <c r="O8" t="s">
        <v>12</v>
      </c>
      <c r="R8" s="14"/>
      <c r="S8" s="15"/>
      <c r="T8" s="15"/>
      <c r="U8" s="19"/>
      <c r="V8" s="16"/>
    </row>
    <row r="9" spans="1:23" x14ac:dyDescent="0.25">
      <c r="B9" s="1" t="s">
        <v>14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>
        <f>SUM(Einnahmen[[#This Row],[Januar]:[Dezember]])</f>
        <v>0</v>
      </c>
      <c r="R9" s="14"/>
      <c r="S9" s="15"/>
      <c r="T9" s="15"/>
      <c r="U9" s="19"/>
      <c r="V9" s="16"/>
    </row>
    <row r="10" spans="1:23" x14ac:dyDescent="0.25">
      <c r="B10" s="1" t="s">
        <v>15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>
        <f>SUM(Einnahmen[[#This Row],[Januar]:[Dezember]])</f>
        <v>0</v>
      </c>
      <c r="R10" s="14"/>
      <c r="S10" s="15"/>
      <c r="T10" s="15"/>
      <c r="U10" s="19"/>
      <c r="V10" s="16"/>
    </row>
    <row r="11" spans="1:23" x14ac:dyDescent="0.25">
      <c r="B11" s="1" t="s">
        <v>16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>
        <f>SUM(Einnahmen[[#This Row],[Januar]:[Dezember]])</f>
        <v>0</v>
      </c>
      <c r="R11" s="14"/>
      <c r="S11" s="15"/>
      <c r="T11" s="15"/>
      <c r="U11" s="19"/>
      <c r="V11" s="16"/>
    </row>
    <row r="12" spans="1:23" x14ac:dyDescent="0.25">
      <c r="B12" s="1" t="s">
        <v>17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>
        <f>SUM(Einnahmen[[#This Row],[Januar]:[Dezember]])</f>
        <v>0</v>
      </c>
      <c r="R12" s="14"/>
      <c r="S12" s="15"/>
      <c r="T12" s="15"/>
      <c r="U12" s="19"/>
      <c r="V12" s="16"/>
    </row>
    <row r="13" spans="1:23" x14ac:dyDescent="0.25">
      <c r="B13" s="1" t="s">
        <v>18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>
        <f>SUM(Einnahmen[[#This Row],[Januar]:[Dezember]])</f>
        <v>0</v>
      </c>
      <c r="R13" s="14"/>
      <c r="S13" s="15"/>
      <c r="T13" s="15"/>
      <c r="U13" s="19"/>
      <c r="V13" s="16"/>
    </row>
    <row r="14" spans="1:23" x14ac:dyDescent="0.25">
      <c r="B14" s="1" t="s">
        <v>19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>
        <f>SUM(Einnahmen[[#This Row],[Januar]:[Dezember]])</f>
        <v>0</v>
      </c>
      <c r="R14" s="14"/>
      <c r="S14" s="15"/>
      <c r="T14" s="15"/>
      <c r="U14" s="19"/>
      <c r="V14" s="16"/>
    </row>
    <row r="15" spans="1:23" x14ac:dyDescent="0.25">
      <c r="B15" s="1" t="s">
        <v>20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>
        <f>SUM(Einnahmen[[#This Row],[Januar]:[Dezember]])</f>
        <v>0</v>
      </c>
      <c r="R15" s="14"/>
      <c r="S15" s="15"/>
      <c r="T15" s="15"/>
      <c r="U15" s="19"/>
      <c r="V15" s="16"/>
    </row>
    <row r="16" spans="1:23" x14ac:dyDescent="0.25">
      <c r="B16" s="1" t="s">
        <v>21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>
        <f>SUM(Einnahmen[[#This Row],[Januar]:[Dezember]])</f>
        <v>0</v>
      </c>
      <c r="R16" s="14"/>
      <c r="S16" s="15"/>
      <c r="T16" s="15"/>
      <c r="U16" s="19"/>
      <c r="V16" s="16"/>
    </row>
    <row r="17" spans="2:22" ht="15.75" thickBot="1" x14ac:dyDescent="0.3">
      <c r="B17" s="10" t="s">
        <v>22</v>
      </c>
      <c r="C17" s="2">
        <f>SUBTOTAL(109,Einnahmen[Januar])</f>
        <v>0</v>
      </c>
      <c r="D17" s="2">
        <f>SUBTOTAL(109,Einnahmen[Februar])</f>
        <v>0</v>
      </c>
      <c r="E17" s="2">
        <f>SUBTOTAL(109,Einnahmen[März])</f>
        <v>0</v>
      </c>
      <c r="F17" s="2">
        <f>SUBTOTAL(109,Einnahmen[April])</f>
        <v>0</v>
      </c>
      <c r="G17" s="2">
        <f>SUBTOTAL(109,Einnahmen[Mai])</f>
        <v>0</v>
      </c>
      <c r="H17" s="2">
        <f>SUBTOTAL(109,Einnahmen[Juni])</f>
        <v>0</v>
      </c>
      <c r="I17" s="2">
        <f>SUBTOTAL(109,Einnahmen[Juli])</f>
        <v>0</v>
      </c>
      <c r="J17" s="2">
        <f>SUBTOTAL(109,Einnahmen[August])</f>
        <v>0</v>
      </c>
      <c r="K17" s="2">
        <f>SUBTOTAL(109,Einnahmen[September])</f>
        <v>0</v>
      </c>
      <c r="L17" s="2">
        <f>SUBTOTAL(109,Einnahmen[Oktober])</f>
        <v>0</v>
      </c>
      <c r="M17" s="2">
        <f>SUBTOTAL(109,Einnahmen[November])</f>
        <v>0</v>
      </c>
      <c r="N17" s="2">
        <f>SUBTOTAL(109,Einnahmen[Dezember])</f>
        <v>0</v>
      </c>
      <c r="O17" s="2">
        <f>SUBTOTAL(109,Einnahmen[Gesamt])</f>
        <v>0</v>
      </c>
      <c r="R17" s="14"/>
      <c r="S17" s="15"/>
      <c r="T17" s="15"/>
      <c r="U17" s="19"/>
      <c r="V17" s="16"/>
    </row>
    <row r="18" spans="2:22" ht="15.75" thickTop="1" x14ac:dyDescent="0.25">
      <c r="B18" s="40" t="s">
        <v>100</v>
      </c>
      <c r="C18" s="5">
        <f>IFERROR(AVERAGEIF(Einnahmen[Januar],"&lt;&gt;0"),0)</f>
        <v>0</v>
      </c>
      <c r="D18" s="5">
        <f>IFERROR(AVERAGEIF(Einnahmen[Februar],"&lt;&gt;0"),0)</f>
        <v>0</v>
      </c>
      <c r="E18" s="5">
        <f>IFERROR(AVERAGEIF(Einnahmen[März],"&lt;&gt;0"),0)</f>
        <v>0</v>
      </c>
      <c r="F18" s="5">
        <f>IFERROR(AVERAGEIF(Einnahmen[April],"&lt;&gt;0"),0)</f>
        <v>0</v>
      </c>
      <c r="G18" s="5">
        <f>IFERROR(AVERAGEIF(Einnahmen[Mai],"&lt;&gt;0"),0)</f>
        <v>0</v>
      </c>
      <c r="H18" s="5">
        <f>IFERROR(AVERAGEIF(Einnahmen[Juni],"&lt;&gt;0"),0)</f>
        <v>0</v>
      </c>
      <c r="I18" s="5">
        <f>IFERROR(AVERAGEIF(Einnahmen[Juli],"&lt;&gt;0"),0)</f>
        <v>0</v>
      </c>
      <c r="J18" s="5">
        <f>IFERROR(AVERAGEIF(Einnahmen[August],"&lt;&gt;0"),0)</f>
        <v>0</v>
      </c>
      <c r="K18" s="5">
        <f>IFERROR(AVERAGEIF(Einnahmen[September],"&lt;&gt;0"),0)</f>
        <v>0</v>
      </c>
      <c r="L18" s="5">
        <f>IFERROR(AVERAGEIF(Einnahmen[Oktober],"&lt;&gt;0"),0)</f>
        <v>0</v>
      </c>
      <c r="M18" s="5">
        <f>IFERROR(AVERAGEIF(Einnahmen[November],"&lt;&gt;0"),0)</f>
        <v>0</v>
      </c>
      <c r="N18" s="5">
        <f>IFERROR(AVERAGEIF(Einnahmen[Dezember],"&lt;&gt;0"),0)</f>
        <v>0</v>
      </c>
      <c r="O18" s="5">
        <f>IFERROR(AVERAGEIF(Einnahmen[Gesamt],"&lt;&gt;0"),0)</f>
        <v>0</v>
      </c>
      <c r="R18" s="14"/>
      <c r="S18" s="15"/>
      <c r="T18" s="15"/>
      <c r="U18" s="19"/>
      <c r="V18" s="16"/>
    </row>
    <row r="19" spans="2:22" x14ac:dyDescent="0.25">
      <c r="R19" s="14"/>
      <c r="S19" s="15"/>
      <c r="T19" s="15"/>
      <c r="U19" s="19"/>
      <c r="V19" s="16"/>
    </row>
    <row r="20" spans="2:22" x14ac:dyDescent="0.25">
      <c r="R20" s="14"/>
      <c r="S20" s="15"/>
      <c r="T20" s="15"/>
      <c r="U20" s="19"/>
      <c r="V20" s="16"/>
    </row>
    <row r="21" spans="2:22" ht="26.25" x14ac:dyDescent="0.4">
      <c r="B21" s="47" t="s">
        <v>23</v>
      </c>
      <c r="R21" s="14"/>
      <c r="S21" s="15"/>
      <c r="T21" s="15"/>
      <c r="U21" s="19"/>
      <c r="V21" s="16"/>
    </row>
    <row r="22" spans="2:22" x14ac:dyDescent="0.25">
      <c r="R22" s="14"/>
      <c r="S22" s="15"/>
      <c r="T22" s="15"/>
      <c r="U22" s="19"/>
      <c r="V22" s="16"/>
    </row>
    <row r="23" spans="2:22" x14ac:dyDescent="0.25">
      <c r="B23" t="s">
        <v>24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t="s">
        <v>5</v>
      </c>
      <c r="I23" t="s">
        <v>6</v>
      </c>
      <c r="J23" t="s">
        <v>7</v>
      </c>
      <c r="K23" t="s">
        <v>8</v>
      </c>
      <c r="L23" t="s">
        <v>9</v>
      </c>
      <c r="M23" t="s">
        <v>10</v>
      </c>
      <c r="N23" t="s">
        <v>11</v>
      </c>
      <c r="O23" t="s">
        <v>12</v>
      </c>
      <c r="P23" t="s">
        <v>112</v>
      </c>
      <c r="R23" s="14"/>
      <c r="S23" s="15"/>
      <c r="T23" s="15"/>
      <c r="U23" s="19"/>
      <c r="V23" s="16" t="str">
        <f t="shared" ref="V23:V98" si="0">IF(S23-T23=0,"",S23-T23)</f>
        <v/>
      </c>
    </row>
    <row r="24" spans="2:22" x14ac:dyDescent="0.25">
      <c r="B24" s="1" t="s">
        <v>96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>
        <f>SUM(Wohnen[[#This Row],[Januar]:[Dezember]])</f>
        <v>0</v>
      </c>
      <c r="P24" s="42" t="e">
        <f t="shared" ref="P24:P29" si="1">O24/$O$138</f>
        <v>#DIV/0!</v>
      </c>
      <c r="R24" s="14"/>
      <c r="S24" s="15"/>
      <c r="T24" s="15"/>
      <c r="U24" s="19"/>
      <c r="V24" s="16" t="str">
        <f t="shared" si="0"/>
        <v/>
      </c>
    </row>
    <row r="25" spans="2:22" x14ac:dyDescent="0.25">
      <c r="B25" s="1" t="s">
        <v>25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>
        <f>SUM(Wohnen[[#This Row],[Januar]:[Dezember]])</f>
        <v>0</v>
      </c>
      <c r="P25" s="42" t="e">
        <f t="shared" si="1"/>
        <v>#DIV/0!</v>
      </c>
      <c r="R25" s="14"/>
      <c r="S25" s="15"/>
      <c r="T25" s="15"/>
      <c r="U25" s="19"/>
      <c r="V25" s="16" t="str">
        <f t="shared" si="0"/>
        <v/>
      </c>
    </row>
    <row r="26" spans="2:22" x14ac:dyDescent="0.25">
      <c r="B26" s="1" t="s">
        <v>26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>
        <f>SUM(Wohnen[[#This Row],[Januar]:[Dezember]])</f>
        <v>0</v>
      </c>
      <c r="P26" s="42" t="e">
        <f t="shared" si="1"/>
        <v>#DIV/0!</v>
      </c>
      <c r="R26" s="14"/>
      <c r="S26" s="15"/>
      <c r="T26" s="15"/>
      <c r="U26" s="19"/>
      <c r="V26" s="16" t="str">
        <f t="shared" si="0"/>
        <v/>
      </c>
    </row>
    <row r="27" spans="2:22" x14ac:dyDescent="0.25">
      <c r="B27" s="1" t="s">
        <v>27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>
        <f>SUM(Wohnen[[#This Row],[Januar]:[Dezember]])</f>
        <v>0</v>
      </c>
      <c r="P27" s="42" t="e">
        <f t="shared" si="1"/>
        <v>#DIV/0!</v>
      </c>
      <c r="R27" s="14"/>
      <c r="S27" s="15"/>
      <c r="T27" s="15"/>
      <c r="U27" s="19"/>
      <c r="V27" s="16" t="str">
        <f t="shared" si="0"/>
        <v/>
      </c>
    </row>
    <row r="28" spans="2:22" x14ac:dyDescent="0.25">
      <c r="B28" s="1" t="s">
        <v>30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>
        <f>SUM(Wohnen[[#This Row],[Januar]:[Dezember]])</f>
        <v>0</v>
      </c>
      <c r="P28" s="42" t="e">
        <f t="shared" si="1"/>
        <v>#DIV/0!</v>
      </c>
      <c r="R28" s="14"/>
      <c r="S28" s="15"/>
      <c r="T28" s="15"/>
      <c r="U28" s="19"/>
      <c r="V28" s="16" t="str">
        <f t="shared" si="0"/>
        <v/>
      </c>
    </row>
    <row r="29" spans="2:22" x14ac:dyDescent="0.25">
      <c r="B29" s="1" t="s">
        <v>31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>
        <f>SUM(Wohnen[[#This Row],[Januar]:[Dezember]])</f>
        <v>0</v>
      </c>
      <c r="P29" s="42" t="e">
        <f t="shared" si="1"/>
        <v>#DIV/0!</v>
      </c>
      <c r="R29" s="14"/>
      <c r="S29" s="17"/>
      <c r="T29" s="17"/>
      <c r="U29" s="20"/>
      <c r="V29" s="16" t="str">
        <f t="shared" si="0"/>
        <v/>
      </c>
    </row>
    <row r="30" spans="2:22" ht="15.75" thickBot="1" x14ac:dyDescent="0.3">
      <c r="B30" t="s">
        <v>29</v>
      </c>
      <c r="C30" s="2">
        <f>SUBTOTAL(109,Wohnen[Januar])</f>
        <v>0</v>
      </c>
      <c r="D30" s="2">
        <f>SUBTOTAL(109,Wohnen[Februar])</f>
        <v>0</v>
      </c>
      <c r="E30" s="2">
        <f>SUBTOTAL(109,Wohnen[März])</f>
        <v>0</v>
      </c>
      <c r="F30" s="2">
        <f>SUBTOTAL(109,Wohnen[April])</f>
        <v>0</v>
      </c>
      <c r="G30" s="2">
        <f>SUBTOTAL(109,Wohnen[Mai])</f>
        <v>0</v>
      </c>
      <c r="H30" s="2">
        <f>SUBTOTAL(109,Wohnen[Juni])</f>
        <v>0</v>
      </c>
      <c r="I30" s="2">
        <f>SUBTOTAL(109,Wohnen[Juli])</f>
        <v>0</v>
      </c>
      <c r="J30" s="2">
        <f>SUBTOTAL(109,Wohnen[August])</f>
        <v>0</v>
      </c>
      <c r="K30" s="2">
        <f>SUBTOTAL(109,Wohnen[September])</f>
        <v>0</v>
      </c>
      <c r="L30" s="2">
        <f>SUBTOTAL(109,Wohnen[Oktober])</f>
        <v>0</v>
      </c>
      <c r="M30" s="2">
        <f>SUBTOTAL(109,Wohnen[November])</f>
        <v>0</v>
      </c>
      <c r="N30" s="2">
        <f>SUBTOTAL(109,Wohnen[Dezember])</f>
        <v>0</v>
      </c>
      <c r="O30" s="2">
        <f>SUBTOTAL(109,Wohnen[Gesamt])</f>
        <v>0</v>
      </c>
      <c r="P30" s="42" t="e">
        <f>O30/$O$138</f>
        <v>#DIV/0!</v>
      </c>
      <c r="R30" s="14"/>
      <c r="S30" s="17"/>
      <c r="T30" s="17"/>
      <c r="U30" s="20"/>
      <c r="V30" s="16" t="str">
        <f t="shared" si="0"/>
        <v/>
      </c>
    </row>
    <row r="31" spans="2:22" ht="15.75" thickTop="1" x14ac:dyDescent="0.25">
      <c r="B31" s="44" t="s">
        <v>100</v>
      </c>
      <c r="C31" s="45">
        <f>IFERROR(AVERAGEIF(Wohnen[Januar],"&lt;&gt;0"),0)</f>
        <v>0</v>
      </c>
      <c r="D31" s="45">
        <f>IFERROR(AVERAGEIF(Wohnen[Februar],"&lt;&gt;0"),0)</f>
        <v>0</v>
      </c>
      <c r="E31" s="45">
        <f>IFERROR(AVERAGEIF(Wohnen[März],"&lt;&gt;0"),0)</f>
        <v>0</v>
      </c>
      <c r="F31" s="45">
        <f>IFERROR(AVERAGEIF(Wohnen[April],"&lt;&gt;0"),0)</f>
        <v>0</v>
      </c>
      <c r="G31" s="45">
        <f>IFERROR(AVERAGEIF(Wohnen[Mai],"&lt;&gt;0"),0)</f>
        <v>0</v>
      </c>
      <c r="H31" s="45">
        <f>IFERROR(AVERAGEIF(Wohnen[Juni],"&lt;&gt;0"),0)</f>
        <v>0</v>
      </c>
      <c r="I31" s="45">
        <f>IFERROR(AVERAGEIF(Wohnen[Juli],"&lt;&gt;0"),0)</f>
        <v>0</v>
      </c>
      <c r="J31" s="45">
        <f>IFERROR(AVERAGEIF(Wohnen[August],"&lt;&gt;0"),0)</f>
        <v>0</v>
      </c>
      <c r="K31" s="45">
        <f>IFERROR(AVERAGEIF(Wohnen[September],"&lt;&gt;0"),0)</f>
        <v>0</v>
      </c>
      <c r="L31" s="45">
        <f>IFERROR(AVERAGEIF(Wohnen[Oktober],"&lt;&gt;0"),0)</f>
        <v>0</v>
      </c>
      <c r="M31" s="45">
        <f>IFERROR(AVERAGEIF(Wohnen[November],"&lt;&gt;0"),0)</f>
        <v>0</v>
      </c>
      <c r="N31" s="45">
        <f>IFERROR(AVERAGEIF(Wohnen[Dezember],"&lt;&gt;0"),0)</f>
        <v>0</v>
      </c>
      <c r="O31" s="45">
        <f>IFERROR(AVERAGEIF(Wohnen[Gesamt],"&lt;&gt;0"),0)</f>
        <v>0</v>
      </c>
      <c r="P31" s="46" t="e">
        <f>O31/$O$138</f>
        <v>#DIV/0!</v>
      </c>
      <c r="R31" s="14"/>
      <c r="S31" s="17"/>
      <c r="T31" s="17"/>
      <c r="U31" s="20"/>
      <c r="V31" s="16"/>
    </row>
    <row r="32" spans="2:22" x14ac:dyDescent="0.25">
      <c r="R32" s="14"/>
      <c r="S32" s="17"/>
      <c r="T32" s="17"/>
      <c r="U32" s="20"/>
      <c r="V32" s="16" t="str">
        <f t="shared" si="0"/>
        <v/>
      </c>
    </row>
    <row r="33" spans="2:22" x14ac:dyDescent="0.25">
      <c r="R33" s="14"/>
      <c r="S33" s="17"/>
      <c r="T33" s="17"/>
      <c r="U33" s="20"/>
      <c r="V33" s="16" t="str">
        <f t="shared" si="0"/>
        <v/>
      </c>
    </row>
    <row r="34" spans="2:22" x14ac:dyDescent="0.25">
      <c r="B34" t="s">
        <v>32</v>
      </c>
      <c r="C34" t="s">
        <v>0</v>
      </c>
      <c r="D34" t="s">
        <v>1</v>
      </c>
      <c r="E34" t="s">
        <v>2</v>
      </c>
      <c r="F34" t="s">
        <v>3</v>
      </c>
      <c r="G34" t="s">
        <v>4</v>
      </c>
      <c r="H34" t="s">
        <v>5</v>
      </c>
      <c r="I34" t="s">
        <v>6</v>
      </c>
      <c r="J34" t="s">
        <v>7</v>
      </c>
      <c r="K34" t="s">
        <v>8</v>
      </c>
      <c r="L34" t="s">
        <v>9</v>
      </c>
      <c r="M34" t="s">
        <v>10</v>
      </c>
      <c r="N34" t="s">
        <v>11</v>
      </c>
      <c r="O34" t="s">
        <v>12</v>
      </c>
      <c r="P34" t="s">
        <v>112</v>
      </c>
      <c r="R34" s="14"/>
      <c r="S34" s="17"/>
      <c r="T34" s="17"/>
      <c r="U34" s="20"/>
      <c r="V34" s="16" t="str">
        <f t="shared" si="0"/>
        <v/>
      </c>
    </row>
    <row r="35" spans="2:22" x14ac:dyDescent="0.25">
      <c r="B35" s="1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>
        <f>SUM(Versicherungen[[#This Row],[Januar]:[Dezember]])</f>
        <v>0</v>
      </c>
      <c r="P35" s="42" t="e">
        <f t="shared" ref="P35:P45" si="2">O35/$O$138</f>
        <v>#DIV/0!</v>
      </c>
      <c r="R35" s="14"/>
      <c r="S35" s="17"/>
      <c r="T35" s="17"/>
      <c r="U35" s="20"/>
      <c r="V35" s="16" t="str">
        <f t="shared" si="0"/>
        <v/>
      </c>
    </row>
    <row r="36" spans="2:22" x14ac:dyDescent="0.25">
      <c r="B36" s="1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>
        <f>SUM(Versicherungen[[#This Row],[Januar]:[Dezember]])</f>
        <v>0</v>
      </c>
      <c r="P36" s="42" t="e">
        <f t="shared" si="2"/>
        <v>#DIV/0!</v>
      </c>
      <c r="R36" s="14"/>
      <c r="S36" s="17"/>
      <c r="T36" s="17"/>
      <c r="U36" s="20"/>
      <c r="V36" s="16" t="str">
        <f t="shared" si="0"/>
        <v/>
      </c>
    </row>
    <row r="37" spans="2:22" x14ac:dyDescent="0.25">
      <c r="B37" s="1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>
        <f>SUM(Versicherungen[[#This Row],[Januar]:[Dezember]])</f>
        <v>0</v>
      </c>
      <c r="P37" s="42" t="e">
        <f t="shared" si="2"/>
        <v>#DIV/0!</v>
      </c>
      <c r="R37" s="14"/>
      <c r="S37" s="17"/>
      <c r="T37" s="17"/>
      <c r="U37" s="20"/>
      <c r="V37" s="16" t="str">
        <f t="shared" si="0"/>
        <v/>
      </c>
    </row>
    <row r="38" spans="2:22" x14ac:dyDescent="0.25">
      <c r="B38" s="1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>
        <f>SUM(Versicherungen[[#This Row],[Januar]:[Dezember]])</f>
        <v>0</v>
      </c>
      <c r="P38" s="42" t="e">
        <f t="shared" si="2"/>
        <v>#DIV/0!</v>
      </c>
      <c r="R38" s="14"/>
      <c r="S38" s="17"/>
      <c r="T38" s="17"/>
      <c r="U38" s="20"/>
      <c r="V38" s="16" t="str">
        <f t="shared" si="0"/>
        <v/>
      </c>
    </row>
    <row r="39" spans="2:22" x14ac:dyDescent="0.25">
      <c r="B39" s="1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>
        <f>SUM(Versicherungen[[#This Row],[Januar]:[Dezember]])</f>
        <v>0</v>
      </c>
      <c r="P39" s="42" t="e">
        <f t="shared" si="2"/>
        <v>#DIV/0!</v>
      </c>
      <c r="R39" s="14"/>
      <c r="S39" s="17"/>
      <c r="T39" s="17"/>
      <c r="U39" s="20"/>
      <c r="V39" s="16" t="str">
        <f t="shared" si="0"/>
        <v/>
      </c>
    </row>
    <row r="40" spans="2:22" x14ac:dyDescent="0.25">
      <c r="B40" s="1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>
        <f>SUM(Versicherungen[[#This Row],[Januar]:[Dezember]])</f>
        <v>0</v>
      </c>
      <c r="P40" s="42" t="e">
        <f t="shared" si="2"/>
        <v>#DIV/0!</v>
      </c>
      <c r="R40" s="14"/>
      <c r="S40" s="17"/>
      <c r="T40" s="17"/>
      <c r="U40" s="20"/>
      <c r="V40" s="16" t="str">
        <f t="shared" si="0"/>
        <v/>
      </c>
    </row>
    <row r="41" spans="2:22" x14ac:dyDescent="0.25">
      <c r="B41" s="1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>
        <f>SUM(Versicherungen[[#This Row],[Januar]:[Dezember]])</f>
        <v>0</v>
      </c>
      <c r="P41" s="42" t="e">
        <f t="shared" si="2"/>
        <v>#DIV/0!</v>
      </c>
      <c r="R41" s="14"/>
      <c r="S41" s="17"/>
      <c r="T41" s="17"/>
      <c r="U41" s="20"/>
      <c r="V41" s="16" t="str">
        <f t="shared" si="0"/>
        <v/>
      </c>
    </row>
    <row r="42" spans="2:22" x14ac:dyDescent="0.25">
      <c r="B42" s="1" t="s">
        <v>40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>
        <f>SUM(Versicherungen[[#This Row],[Januar]:[Dezember]])</f>
        <v>0</v>
      </c>
      <c r="P42" s="42" t="e">
        <f t="shared" si="2"/>
        <v>#DIV/0!</v>
      </c>
      <c r="R42" s="14"/>
      <c r="S42" s="17"/>
      <c r="T42" s="17"/>
      <c r="U42" s="20"/>
      <c r="V42" s="16" t="str">
        <f t="shared" si="0"/>
        <v/>
      </c>
    </row>
    <row r="43" spans="2:22" x14ac:dyDescent="0.25">
      <c r="B43" s="1" t="s">
        <v>41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>
        <f>SUM(Versicherungen[[#This Row],[Januar]:[Dezember]])</f>
        <v>0</v>
      </c>
      <c r="P43" s="42" t="e">
        <f t="shared" si="2"/>
        <v>#DIV/0!</v>
      </c>
      <c r="R43" s="14"/>
      <c r="S43" s="17"/>
      <c r="T43" s="17"/>
      <c r="U43" s="20"/>
      <c r="V43" s="16" t="str">
        <f t="shared" si="0"/>
        <v/>
      </c>
    </row>
    <row r="44" spans="2:22" x14ac:dyDescent="0.25">
      <c r="B44" s="1" t="s">
        <v>42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>
        <f>SUM(Versicherungen[[#This Row],[Januar]:[Dezember]])</f>
        <v>0</v>
      </c>
      <c r="P44" s="42" t="e">
        <f t="shared" si="2"/>
        <v>#DIV/0!</v>
      </c>
      <c r="R44" s="14"/>
      <c r="S44" s="17"/>
      <c r="T44" s="17"/>
      <c r="U44" s="20"/>
      <c r="V44" s="16" t="str">
        <f t="shared" si="0"/>
        <v/>
      </c>
    </row>
    <row r="45" spans="2:22" x14ac:dyDescent="0.25">
      <c r="B45" s="1" t="s">
        <v>21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>
        <f>SUM(Versicherungen[[#This Row],[Januar]:[Dezember]])</f>
        <v>0</v>
      </c>
      <c r="P45" s="42" t="e">
        <f t="shared" si="2"/>
        <v>#DIV/0!</v>
      </c>
      <c r="R45" s="14"/>
      <c r="S45" s="17"/>
      <c r="T45" s="17"/>
      <c r="U45" s="20"/>
      <c r="V45" s="16" t="str">
        <f t="shared" si="0"/>
        <v/>
      </c>
    </row>
    <row r="46" spans="2:22" ht="15.75" thickBot="1" x14ac:dyDescent="0.3">
      <c r="B46" t="s">
        <v>66</v>
      </c>
      <c r="C46" s="2">
        <f>SUBTOTAL(109,Versicherungen[Januar])</f>
        <v>0</v>
      </c>
      <c r="D46" s="2">
        <f>SUBTOTAL(109,Versicherungen[Februar])</f>
        <v>0</v>
      </c>
      <c r="E46" s="2">
        <f>SUBTOTAL(109,Versicherungen[März])</f>
        <v>0</v>
      </c>
      <c r="F46" s="2">
        <f>SUBTOTAL(109,Versicherungen[April])</f>
        <v>0</v>
      </c>
      <c r="G46" s="2">
        <f>SUBTOTAL(109,Versicherungen[Mai])</f>
        <v>0</v>
      </c>
      <c r="H46" s="2">
        <f>SUBTOTAL(109,Versicherungen[Juni])</f>
        <v>0</v>
      </c>
      <c r="I46" s="2">
        <f>SUBTOTAL(109,Versicherungen[Juli])</f>
        <v>0</v>
      </c>
      <c r="J46" s="2">
        <f>SUBTOTAL(109,Versicherungen[August])</f>
        <v>0</v>
      </c>
      <c r="K46" s="2">
        <f>SUBTOTAL(109,Versicherungen[September])</f>
        <v>0</v>
      </c>
      <c r="L46" s="2">
        <f>SUBTOTAL(109,Versicherungen[Oktober])</f>
        <v>0</v>
      </c>
      <c r="M46" s="2">
        <f>SUBTOTAL(109,Versicherungen[November])</f>
        <v>0</v>
      </c>
      <c r="N46" s="2">
        <f>SUBTOTAL(109,Versicherungen[Dezember])</f>
        <v>0</v>
      </c>
      <c r="O46" s="2">
        <f>SUBTOTAL(109,Versicherungen[Gesamt])</f>
        <v>0</v>
      </c>
      <c r="P46" s="42" t="e">
        <f>O46/$O$138</f>
        <v>#DIV/0!</v>
      </c>
      <c r="R46" s="14"/>
      <c r="S46" s="17"/>
      <c r="T46" s="17"/>
      <c r="U46" s="20"/>
      <c r="V46" s="16" t="str">
        <f t="shared" si="0"/>
        <v/>
      </c>
    </row>
    <row r="47" spans="2:22" ht="15.75" thickTop="1" x14ac:dyDescent="0.25">
      <c r="B47" s="44" t="s">
        <v>100</v>
      </c>
      <c r="C47" s="45">
        <f>IFERROR(AVERAGEIF(Versicherungen[Januar],"&lt;&gt;0"),0)</f>
        <v>0</v>
      </c>
      <c r="D47" s="45">
        <f>IFERROR(AVERAGEIF(Versicherungen[Februar],"&lt;&gt;0"),0)</f>
        <v>0</v>
      </c>
      <c r="E47" s="45">
        <f>IFERROR(AVERAGEIF(Versicherungen[März],"&lt;&gt;0"),0)</f>
        <v>0</v>
      </c>
      <c r="F47" s="45">
        <f>IFERROR(AVERAGEIF(Versicherungen[April],"&lt;&gt;0"),0)</f>
        <v>0</v>
      </c>
      <c r="G47" s="45">
        <f>IFERROR(AVERAGEIF(Versicherungen[Mai],"&lt;&gt;0"),0)</f>
        <v>0</v>
      </c>
      <c r="H47" s="45">
        <f>IFERROR(AVERAGEIF(Versicherungen[Juni],"&lt;&gt;0"),0)</f>
        <v>0</v>
      </c>
      <c r="I47" s="45">
        <f>IFERROR(AVERAGEIF(Versicherungen[Juli],"&lt;&gt;0"),0)</f>
        <v>0</v>
      </c>
      <c r="J47" s="45">
        <f>IFERROR(AVERAGEIF(Versicherungen[August],"&lt;&gt;0"),0)</f>
        <v>0</v>
      </c>
      <c r="K47" s="45">
        <f>IFERROR(AVERAGEIF(Versicherungen[September],"&lt;&gt;0"),0)</f>
        <v>0</v>
      </c>
      <c r="L47" s="45">
        <f>IFERROR(AVERAGEIF(Versicherungen[Oktober],"&lt;&gt;0"),0)</f>
        <v>0</v>
      </c>
      <c r="M47" s="45">
        <f>IFERROR(AVERAGEIF(Versicherungen[November],"&lt;&gt;0"),0)</f>
        <v>0</v>
      </c>
      <c r="N47" s="45">
        <f>IFERROR(AVERAGEIF(Versicherungen[Dezember],"&lt;&gt;0"),0)</f>
        <v>0</v>
      </c>
      <c r="O47" s="45">
        <f>IFERROR(AVERAGEIF(Versicherungen[Gesamt],"&lt;&gt;0"),0)</f>
        <v>0</v>
      </c>
      <c r="P47" s="46" t="e">
        <f>O47/$O$138</f>
        <v>#DIV/0!</v>
      </c>
      <c r="R47" s="14"/>
      <c r="S47" s="17"/>
      <c r="T47" s="17"/>
      <c r="U47" s="20"/>
      <c r="V47" s="16"/>
    </row>
    <row r="48" spans="2:22" x14ac:dyDescent="0.25">
      <c r="R48" s="14"/>
      <c r="S48" s="17"/>
      <c r="T48" s="17"/>
      <c r="U48" s="20"/>
      <c r="V48" s="16" t="str">
        <f t="shared" si="0"/>
        <v/>
      </c>
    </row>
    <row r="49" spans="2:22" x14ac:dyDescent="0.25">
      <c r="R49" s="14"/>
      <c r="S49" s="17"/>
      <c r="T49" s="17"/>
      <c r="U49" s="20"/>
      <c r="V49" s="16" t="str">
        <f t="shared" si="0"/>
        <v/>
      </c>
    </row>
    <row r="50" spans="2:22" x14ac:dyDescent="0.25">
      <c r="B50" t="s">
        <v>19</v>
      </c>
      <c r="C50" t="s">
        <v>0</v>
      </c>
      <c r="D50" t="s">
        <v>1</v>
      </c>
      <c r="E50" t="s">
        <v>2</v>
      </c>
      <c r="F50" t="s">
        <v>3</v>
      </c>
      <c r="G50" t="s">
        <v>4</v>
      </c>
      <c r="H50" t="s">
        <v>5</v>
      </c>
      <c r="I50" t="s">
        <v>6</v>
      </c>
      <c r="J50" t="s">
        <v>7</v>
      </c>
      <c r="K50" t="s">
        <v>8</v>
      </c>
      <c r="L50" t="s">
        <v>9</v>
      </c>
      <c r="M50" t="s">
        <v>10</v>
      </c>
      <c r="N50" t="s">
        <v>11</v>
      </c>
      <c r="O50" t="s">
        <v>12</v>
      </c>
      <c r="P50" t="s">
        <v>112</v>
      </c>
      <c r="R50" s="14"/>
      <c r="S50" s="17"/>
      <c r="T50" s="17"/>
      <c r="U50" s="20"/>
      <c r="V50" s="16" t="str">
        <f t="shared" si="0"/>
        <v/>
      </c>
    </row>
    <row r="51" spans="2:22" x14ac:dyDescent="0.25">
      <c r="B51" s="1" t="s">
        <v>45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>
        <f>SUM(Investments[[#This Row],[Januar]:[Dezember]])</f>
        <v>0</v>
      </c>
      <c r="P51" s="42" t="e">
        <f t="shared" ref="P51:P53" si="3">O51/$O$138</f>
        <v>#DIV/0!</v>
      </c>
      <c r="R51" s="14"/>
      <c r="S51" s="17"/>
      <c r="T51" s="17"/>
      <c r="U51" s="20"/>
      <c r="V51" s="16" t="str">
        <f t="shared" si="0"/>
        <v/>
      </c>
    </row>
    <row r="52" spans="2:22" x14ac:dyDescent="0.25">
      <c r="B52" s="1" t="s">
        <v>47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>
        <f>SUM(Investments[[#This Row],[Januar]:[Dezember]])</f>
        <v>0</v>
      </c>
      <c r="P52" s="42" t="e">
        <f t="shared" si="3"/>
        <v>#DIV/0!</v>
      </c>
      <c r="R52" s="14"/>
      <c r="S52" s="17"/>
      <c r="T52" s="17"/>
      <c r="U52" s="20"/>
      <c r="V52" s="16" t="str">
        <f t="shared" si="0"/>
        <v/>
      </c>
    </row>
    <row r="53" spans="2:22" x14ac:dyDescent="0.25">
      <c r="B53" s="1" t="s">
        <v>48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>
        <f>SUM(Investments[[#This Row],[Januar]:[Dezember]])</f>
        <v>0</v>
      </c>
      <c r="P53" s="42" t="e">
        <f t="shared" si="3"/>
        <v>#DIV/0!</v>
      </c>
      <c r="R53" s="14"/>
      <c r="S53" s="17"/>
      <c r="T53" s="17"/>
      <c r="U53" s="20"/>
      <c r="V53" s="16" t="str">
        <f t="shared" si="0"/>
        <v/>
      </c>
    </row>
    <row r="54" spans="2:22" ht="15.75" thickBot="1" x14ac:dyDescent="0.3">
      <c r="B54" t="s">
        <v>67</v>
      </c>
      <c r="C54" s="2">
        <f>SUBTOTAL(109,Investments[Januar])</f>
        <v>0</v>
      </c>
      <c r="D54" s="2">
        <f>SUBTOTAL(109,Investments[Februar])</f>
        <v>0</v>
      </c>
      <c r="E54" s="2">
        <f>SUBTOTAL(109,Investments[März])</f>
        <v>0</v>
      </c>
      <c r="F54" s="2">
        <f>SUBTOTAL(109,Investments[April])</f>
        <v>0</v>
      </c>
      <c r="G54" s="2">
        <f>SUBTOTAL(109,Investments[Mai])</f>
        <v>0</v>
      </c>
      <c r="H54" s="2">
        <f>SUBTOTAL(109,Investments[Juni])</f>
        <v>0</v>
      </c>
      <c r="I54" s="2">
        <f>SUBTOTAL(109,Investments[Juli])</f>
        <v>0</v>
      </c>
      <c r="J54" s="2">
        <f>SUBTOTAL(109,Investments[August])</f>
        <v>0</v>
      </c>
      <c r="K54" s="2">
        <f>SUBTOTAL(109,Investments[September])</f>
        <v>0</v>
      </c>
      <c r="L54" s="2">
        <f>SUBTOTAL(109,Investments[Oktober])</f>
        <v>0</v>
      </c>
      <c r="M54" s="2">
        <f>SUBTOTAL(109,Investments[November])</f>
        <v>0</v>
      </c>
      <c r="N54" s="2">
        <f>SUBTOTAL(109,Investments[Dezember])</f>
        <v>0</v>
      </c>
      <c r="O54" s="2">
        <f>SUBTOTAL(109,Investments[Gesamt])</f>
        <v>0</v>
      </c>
      <c r="P54" s="42" t="e">
        <f>O54/$O$138</f>
        <v>#DIV/0!</v>
      </c>
      <c r="R54" s="14"/>
      <c r="S54" s="17"/>
      <c r="T54" s="17"/>
      <c r="U54" s="20"/>
      <c r="V54" s="16" t="str">
        <f t="shared" si="0"/>
        <v/>
      </c>
    </row>
    <row r="55" spans="2:22" ht="15.75" thickTop="1" x14ac:dyDescent="0.25">
      <c r="B55" s="44" t="s">
        <v>100</v>
      </c>
      <c r="C55" s="45">
        <f>IFERROR(AVERAGEIF(Investments[Januar],"&lt;&gt;0"),0)</f>
        <v>0</v>
      </c>
      <c r="D55" s="45">
        <f>IFERROR(AVERAGEIF(Investments[Februar],"&lt;&gt;0"),0)</f>
        <v>0</v>
      </c>
      <c r="E55" s="45">
        <f>IFERROR(AVERAGEIF(Investments[März],"&lt;&gt;0"),0)</f>
        <v>0</v>
      </c>
      <c r="F55" s="45">
        <f>IFERROR(AVERAGEIF(Investments[April],"&lt;&gt;0"),0)</f>
        <v>0</v>
      </c>
      <c r="G55" s="45">
        <f>IFERROR(AVERAGEIF(Investments[Mai],"&lt;&gt;0"),0)</f>
        <v>0</v>
      </c>
      <c r="H55" s="45">
        <f>IFERROR(AVERAGEIF(Investments[Juni],"&lt;&gt;0"),0)</f>
        <v>0</v>
      </c>
      <c r="I55" s="45">
        <f>IFERROR(AVERAGEIF(Investments[Juli],"&lt;&gt;0"),0)</f>
        <v>0</v>
      </c>
      <c r="J55" s="45">
        <f>IFERROR(AVERAGEIF(Investments[August],"&lt;&gt;0"),0)</f>
        <v>0</v>
      </c>
      <c r="K55" s="45">
        <f>IFERROR(AVERAGEIF(Investments[September],"&lt;&gt;0"),0)</f>
        <v>0</v>
      </c>
      <c r="L55" s="45">
        <f>IFERROR(AVERAGEIF(Investments[Oktober],"&lt;&gt;0"),0)</f>
        <v>0</v>
      </c>
      <c r="M55" s="45">
        <f>IFERROR(AVERAGEIF(Investments[November],"&lt;&gt;0"),0)</f>
        <v>0</v>
      </c>
      <c r="N55" s="45">
        <f>IFERROR(AVERAGEIF(Investments[Dezember],"&lt;&gt;0"),0)</f>
        <v>0</v>
      </c>
      <c r="O55" s="45">
        <f>IFERROR(AVERAGEIF(Investments[Gesamt],"&lt;&gt;0"),0)</f>
        <v>0</v>
      </c>
      <c r="P55" s="46" t="e">
        <f>O55/$O$138</f>
        <v>#DIV/0!</v>
      </c>
      <c r="R55" s="14"/>
      <c r="S55" s="17"/>
      <c r="T55" s="17"/>
      <c r="U55" s="20"/>
      <c r="V55" s="16"/>
    </row>
    <row r="56" spans="2:22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R56" s="14"/>
      <c r="S56" s="17"/>
      <c r="T56" s="17"/>
      <c r="U56" s="20"/>
      <c r="V56" s="16"/>
    </row>
    <row r="57" spans="2:22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R57" s="14"/>
      <c r="S57" s="17"/>
      <c r="T57" s="17"/>
      <c r="U57" s="20"/>
      <c r="V57" s="16"/>
    </row>
    <row r="58" spans="2:22" x14ac:dyDescent="0.25">
      <c r="B58" t="s">
        <v>109</v>
      </c>
      <c r="C58" t="s">
        <v>0</v>
      </c>
      <c r="D58" t="s">
        <v>1</v>
      </c>
      <c r="E58" t="s">
        <v>2</v>
      </c>
      <c r="F58" t="s">
        <v>3</v>
      </c>
      <c r="G58" t="s">
        <v>4</v>
      </c>
      <c r="H58" t="s">
        <v>5</v>
      </c>
      <c r="I58" t="s">
        <v>6</v>
      </c>
      <c r="J58" t="s">
        <v>7</v>
      </c>
      <c r="K58" t="s">
        <v>8</v>
      </c>
      <c r="L58" t="s">
        <v>9</v>
      </c>
      <c r="M58" t="s">
        <v>10</v>
      </c>
      <c r="N58" t="s">
        <v>11</v>
      </c>
      <c r="O58" t="s">
        <v>12</v>
      </c>
      <c r="P58" t="s">
        <v>112</v>
      </c>
      <c r="R58" s="14"/>
      <c r="S58" s="17"/>
      <c r="T58" s="17"/>
      <c r="U58" s="20"/>
      <c r="V58" s="16"/>
    </row>
    <row r="59" spans="2:22" x14ac:dyDescent="0.25">
      <c r="B59" s="1" t="s">
        <v>110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>
        <f>SUM(Investments13[[#This Row],[Januar]:[Dezember]])</f>
        <v>0</v>
      </c>
      <c r="P59" s="42" t="e">
        <f t="shared" ref="P59:P60" si="4">O59/$O$138</f>
        <v>#DIV/0!</v>
      </c>
      <c r="R59" s="14"/>
      <c r="S59" s="17"/>
      <c r="T59" s="17"/>
      <c r="U59" s="20"/>
      <c r="V59" s="16"/>
    </row>
    <row r="60" spans="2:22" x14ac:dyDescent="0.25">
      <c r="B60" s="1" t="s">
        <v>48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>
        <f>SUM(Investments13[[#This Row],[Januar]:[Dezember]])</f>
        <v>0</v>
      </c>
      <c r="P60" s="42" t="e">
        <f t="shared" si="4"/>
        <v>#DIV/0!</v>
      </c>
      <c r="R60" s="14"/>
      <c r="S60" s="17"/>
      <c r="T60" s="17"/>
      <c r="U60" s="20"/>
      <c r="V60" s="16"/>
    </row>
    <row r="61" spans="2:22" ht="15.75" thickBot="1" x14ac:dyDescent="0.3">
      <c r="B61" t="s">
        <v>111</v>
      </c>
      <c r="C61" s="2">
        <f>SUBTOTAL(109,Investments13[Januar])</f>
        <v>0</v>
      </c>
      <c r="D61" s="2">
        <f>SUBTOTAL(109,Investments13[Februar])</f>
        <v>0</v>
      </c>
      <c r="E61" s="2">
        <f>SUBTOTAL(109,Investments13[März])</f>
        <v>0</v>
      </c>
      <c r="F61" s="2">
        <f>SUBTOTAL(109,Investments13[April])</f>
        <v>0</v>
      </c>
      <c r="G61" s="2">
        <f>SUBTOTAL(109,Investments13[Mai])</f>
        <v>0</v>
      </c>
      <c r="H61" s="2">
        <f>SUBTOTAL(109,Investments13[Juni])</f>
        <v>0</v>
      </c>
      <c r="I61" s="2">
        <f>SUBTOTAL(109,Investments13[Juli])</f>
        <v>0</v>
      </c>
      <c r="J61" s="2">
        <f>SUBTOTAL(109,Investments13[August])</f>
        <v>0</v>
      </c>
      <c r="K61" s="2">
        <f>SUBTOTAL(109,Investments13[September])</f>
        <v>0</v>
      </c>
      <c r="L61" s="2">
        <f>SUBTOTAL(109,Investments13[Oktober])</f>
        <v>0</v>
      </c>
      <c r="M61" s="2">
        <f>SUBTOTAL(109,Investments13[November])</f>
        <v>0</v>
      </c>
      <c r="N61" s="2">
        <f>SUBTOTAL(109,Investments13[Dezember])</f>
        <v>0</v>
      </c>
      <c r="O61" s="2">
        <f>SUBTOTAL(109,Investments13[Gesamt])</f>
        <v>0</v>
      </c>
      <c r="P61" s="42" t="e">
        <f>O61/$O$138</f>
        <v>#DIV/0!</v>
      </c>
      <c r="R61" s="14"/>
      <c r="S61" s="17"/>
      <c r="T61" s="17"/>
      <c r="U61" s="20"/>
      <c r="V61" s="16"/>
    </row>
    <row r="62" spans="2:22" ht="15.75" thickTop="1" x14ac:dyDescent="0.25">
      <c r="B62" s="44" t="s">
        <v>100</v>
      </c>
      <c r="C62" s="45">
        <f>IFERROR(AVERAGEIF(Investments13[Januar],"&lt;&gt;0"),0)</f>
        <v>0</v>
      </c>
      <c r="D62" s="45">
        <f>IFERROR(AVERAGEIF(Investments13[Februar],"&lt;&gt;0"),0)</f>
        <v>0</v>
      </c>
      <c r="E62" s="45">
        <f>IFERROR(AVERAGEIF(Investments13[März],"&lt;&gt;0"),0)</f>
        <v>0</v>
      </c>
      <c r="F62" s="45">
        <f>IFERROR(AVERAGEIF(Investments13[April],"&lt;&gt;0"),0)</f>
        <v>0</v>
      </c>
      <c r="G62" s="45">
        <f>IFERROR(AVERAGEIF(Investments13[Mai],"&lt;&gt;0"),0)</f>
        <v>0</v>
      </c>
      <c r="H62" s="45">
        <f>IFERROR(AVERAGEIF(Investments13[Juni],"&lt;&gt;0"),0)</f>
        <v>0</v>
      </c>
      <c r="I62" s="45">
        <f>IFERROR(AVERAGEIF(Investments13[Juli],"&lt;&gt;0"),0)</f>
        <v>0</v>
      </c>
      <c r="J62" s="45">
        <f>IFERROR(AVERAGEIF(Investments13[August],"&lt;&gt;0"),0)</f>
        <v>0</v>
      </c>
      <c r="K62" s="45">
        <f>IFERROR(AVERAGEIF(Investments13[September],"&lt;&gt;0"),0)</f>
        <v>0</v>
      </c>
      <c r="L62" s="45">
        <f>IFERROR(AVERAGEIF(Investments13[Oktober],"&lt;&gt;0"),0)</f>
        <v>0</v>
      </c>
      <c r="M62" s="45">
        <f>IFERROR(AVERAGEIF(Investments13[November],"&lt;&gt;0"),0)</f>
        <v>0</v>
      </c>
      <c r="N62" s="45">
        <f>IFERROR(AVERAGEIF(Investments13[Dezember],"&lt;&gt;0"),0)</f>
        <v>0</v>
      </c>
      <c r="O62" s="45">
        <f>IFERROR(AVERAGEIF(Investments13[Gesamt],"&lt;&gt;0"),0)</f>
        <v>0</v>
      </c>
      <c r="P62" s="46" t="e">
        <f>O62/$O$138</f>
        <v>#DIV/0!</v>
      </c>
      <c r="R62" s="14"/>
      <c r="S62" s="17"/>
      <c r="T62" s="17"/>
      <c r="U62" s="20"/>
      <c r="V62" s="16"/>
    </row>
    <row r="63" spans="2:22" x14ac:dyDescent="0.25">
      <c r="R63" s="14"/>
      <c r="S63" s="17"/>
      <c r="T63" s="17"/>
      <c r="U63" s="20"/>
      <c r="V63" s="16" t="str">
        <f t="shared" si="0"/>
        <v/>
      </c>
    </row>
    <row r="64" spans="2:22" x14ac:dyDescent="0.25">
      <c r="R64" s="14"/>
      <c r="S64" s="17"/>
      <c r="T64" s="17"/>
      <c r="U64" s="20"/>
      <c r="V64" s="16" t="str">
        <f t="shared" si="0"/>
        <v/>
      </c>
    </row>
    <row r="65" spans="2:22" x14ac:dyDescent="0.25">
      <c r="B65" t="s">
        <v>49</v>
      </c>
      <c r="C65" t="s">
        <v>0</v>
      </c>
      <c r="D65" t="s">
        <v>1</v>
      </c>
      <c r="E65" t="s">
        <v>2</v>
      </c>
      <c r="F65" t="s">
        <v>3</v>
      </c>
      <c r="G65" t="s">
        <v>4</v>
      </c>
      <c r="H65" t="s">
        <v>5</v>
      </c>
      <c r="I65" t="s">
        <v>6</v>
      </c>
      <c r="J65" t="s">
        <v>7</v>
      </c>
      <c r="K65" t="s">
        <v>8</v>
      </c>
      <c r="L65" t="s">
        <v>9</v>
      </c>
      <c r="M65" t="s">
        <v>10</v>
      </c>
      <c r="N65" t="s">
        <v>11</v>
      </c>
      <c r="O65" t="s">
        <v>12</v>
      </c>
      <c r="P65" t="s">
        <v>112</v>
      </c>
      <c r="R65" s="14"/>
      <c r="S65" s="17"/>
      <c r="T65" s="17"/>
      <c r="U65" s="20"/>
      <c r="V65" s="16" t="str">
        <f t="shared" si="0"/>
        <v/>
      </c>
    </row>
    <row r="66" spans="2:22" x14ac:dyDescent="0.25">
      <c r="B66" s="1" t="s">
        <v>50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>
        <f>SUM(Finanzierungen[[#This Row],[Januar]:[Dezember]])</f>
        <v>0</v>
      </c>
      <c r="P66" s="42" t="e">
        <f t="shared" ref="P66:P69" si="5">O66/$O$138</f>
        <v>#DIV/0!</v>
      </c>
      <c r="R66" s="14"/>
      <c r="S66" s="17"/>
      <c r="T66" s="17"/>
      <c r="U66" s="20"/>
      <c r="V66" s="16" t="str">
        <f t="shared" si="0"/>
        <v/>
      </c>
    </row>
    <row r="67" spans="2:22" x14ac:dyDescent="0.25">
      <c r="B67" s="1" t="s">
        <v>51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>
        <f>SUM(Finanzierungen[[#This Row],[Januar]:[Dezember]])</f>
        <v>0</v>
      </c>
      <c r="P67" s="42" t="e">
        <f t="shared" si="5"/>
        <v>#DIV/0!</v>
      </c>
      <c r="R67" s="14"/>
      <c r="S67" s="17"/>
      <c r="T67" s="17"/>
      <c r="U67" s="20"/>
      <c r="V67" s="16" t="str">
        <f t="shared" si="0"/>
        <v/>
      </c>
    </row>
    <row r="68" spans="2:22" x14ac:dyDescent="0.25">
      <c r="B68" s="1" t="s">
        <v>52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>
        <f>SUM(Finanzierungen[[#This Row],[Januar]:[Dezember]])</f>
        <v>0</v>
      </c>
      <c r="P68" s="42" t="e">
        <f t="shared" si="5"/>
        <v>#DIV/0!</v>
      </c>
      <c r="R68" s="14"/>
      <c r="S68" s="17"/>
      <c r="T68" s="17"/>
      <c r="U68" s="20"/>
      <c r="V68" s="16" t="str">
        <f t="shared" si="0"/>
        <v/>
      </c>
    </row>
    <row r="69" spans="2:22" x14ac:dyDescent="0.25">
      <c r="B69" s="1" t="s">
        <v>53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>
        <f>SUM(Finanzierungen[[#This Row],[Januar]:[Dezember]])</f>
        <v>0</v>
      </c>
      <c r="P69" s="42" t="e">
        <f t="shared" si="5"/>
        <v>#DIV/0!</v>
      </c>
      <c r="R69" s="14"/>
      <c r="S69" s="17"/>
      <c r="T69" s="17"/>
      <c r="U69" s="20"/>
      <c r="V69" s="16" t="str">
        <f t="shared" si="0"/>
        <v/>
      </c>
    </row>
    <row r="70" spans="2:22" ht="15.75" thickBot="1" x14ac:dyDescent="0.3">
      <c r="B70" t="s">
        <v>68</v>
      </c>
      <c r="C70" s="2">
        <f>SUBTOTAL(109,Finanzierungen[Januar])</f>
        <v>0</v>
      </c>
      <c r="D70" s="2">
        <f>SUBTOTAL(109,Finanzierungen[Februar])</f>
        <v>0</v>
      </c>
      <c r="E70" s="2">
        <f>SUBTOTAL(109,Finanzierungen[März])</f>
        <v>0</v>
      </c>
      <c r="F70" s="2">
        <f>SUBTOTAL(109,Finanzierungen[April])</f>
        <v>0</v>
      </c>
      <c r="G70" s="2">
        <f>SUBTOTAL(109,Finanzierungen[Mai])</f>
        <v>0</v>
      </c>
      <c r="H70" s="2">
        <f>SUBTOTAL(109,Finanzierungen[Juni])</f>
        <v>0</v>
      </c>
      <c r="I70" s="2">
        <f>SUBTOTAL(109,Finanzierungen[Juli])</f>
        <v>0</v>
      </c>
      <c r="J70" s="2">
        <f>SUBTOTAL(109,Finanzierungen[August])</f>
        <v>0</v>
      </c>
      <c r="K70" s="2">
        <f>SUBTOTAL(109,Finanzierungen[September])</f>
        <v>0</v>
      </c>
      <c r="L70" s="2">
        <f>SUBTOTAL(109,Finanzierungen[Oktober])</f>
        <v>0</v>
      </c>
      <c r="M70" s="2">
        <f>SUBTOTAL(109,Finanzierungen[November])</f>
        <v>0</v>
      </c>
      <c r="N70" s="2">
        <f>SUBTOTAL(109,Finanzierungen[Dezember])</f>
        <v>0</v>
      </c>
      <c r="O70" s="2">
        <f>SUBTOTAL(109,Finanzierungen[Gesamt])</f>
        <v>0</v>
      </c>
      <c r="P70" s="42" t="e">
        <f>O70/$O$138</f>
        <v>#DIV/0!</v>
      </c>
      <c r="Q70" s="34"/>
      <c r="R70" s="14"/>
      <c r="S70" s="17"/>
      <c r="T70" s="17"/>
      <c r="U70" s="20"/>
      <c r="V70" s="16" t="str">
        <f t="shared" si="0"/>
        <v/>
      </c>
    </row>
    <row r="71" spans="2:22" ht="15.75" thickTop="1" x14ac:dyDescent="0.25">
      <c r="B71" s="44" t="s">
        <v>100</v>
      </c>
      <c r="C71" s="45">
        <f>IFERROR(AVERAGEIF(Finanzierungen[Januar],"&lt;&gt;0"),0)</f>
        <v>0</v>
      </c>
      <c r="D71" s="45">
        <f>IFERROR(AVERAGEIF(Finanzierungen[Februar],"&lt;&gt;0"),0)</f>
        <v>0</v>
      </c>
      <c r="E71" s="45">
        <f>IFERROR(AVERAGEIF(Finanzierungen[März],"&lt;&gt;0"),0)</f>
        <v>0</v>
      </c>
      <c r="F71" s="45">
        <f>IFERROR(AVERAGEIF(Finanzierungen[April],"&lt;&gt;0"),0)</f>
        <v>0</v>
      </c>
      <c r="G71" s="45">
        <f>IFERROR(AVERAGEIF(Finanzierungen[Mai],"&lt;&gt;0"),0)</f>
        <v>0</v>
      </c>
      <c r="H71" s="45">
        <f>IFERROR(AVERAGEIF(Finanzierungen[Juni],"&lt;&gt;0"),0)</f>
        <v>0</v>
      </c>
      <c r="I71" s="45">
        <f>IFERROR(AVERAGEIF(Finanzierungen[Juli],"&lt;&gt;0"),0)</f>
        <v>0</v>
      </c>
      <c r="J71" s="45">
        <f>IFERROR(AVERAGEIF(Finanzierungen[August],"&lt;&gt;0"),0)</f>
        <v>0</v>
      </c>
      <c r="K71" s="45">
        <f>IFERROR(AVERAGEIF(Finanzierungen[September],"&lt;&gt;0"),0)</f>
        <v>0</v>
      </c>
      <c r="L71" s="45">
        <f>IFERROR(AVERAGEIF(Finanzierungen[Oktober],"&lt;&gt;0"),0)</f>
        <v>0</v>
      </c>
      <c r="M71" s="45">
        <f>IFERROR(AVERAGEIF(Finanzierungen[November],"&lt;&gt;0"),0)</f>
        <v>0</v>
      </c>
      <c r="N71" s="45">
        <f>IFERROR(AVERAGEIF(Finanzierungen[Dezember],"&lt;&gt;0"),0)</f>
        <v>0</v>
      </c>
      <c r="O71" s="45">
        <f>IFERROR(AVERAGEIF(Finanzierungen[Gesamt],"&lt;&gt;0"),0)</f>
        <v>0</v>
      </c>
      <c r="P71" s="46" t="e">
        <f>O71/$O$138</f>
        <v>#DIV/0!</v>
      </c>
      <c r="R71" s="14"/>
      <c r="S71" s="17"/>
      <c r="T71" s="17"/>
      <c r="U71" s="20"/>
      <c r="V71" s="16"/>
    </row>
    <row r="72" spans="2:22" x14ac:dyDescent="0.25">
      <c r="R72" s="14"/>
      <c r="S72" s="17"/>
      <c r="T72" s="17"/>
      <c r="U72" s="20"/>
      <c r="V72" s="16" t="str">
        <f t="shared" si="0"/>
        <v/>
      </c>
    </row>
    <row r="73" spans="2:22" x14ac:dyDescent="0.25">
      <c r="R73" s="14"/>
      <c r="S73" s="17"/>
      <c r="T73" s="17"/>
      <c r="U73" s="20"/>
      <c r="V73" s="16" t="str">
        <f t="shared" si="0"/>
        <v/>
      </c>
    </row>
    <row r="74" spans="2:22" x14ac:dyDescent="0.25">
      <c r="B74" t="s">
        <v>63</v>
      </c>
      <c r="C74" t="s">
        <v>0</v>
      </c>
      <c r="D74" t="s">
        <v>1</v>
      </c>
      <c r="E74" t="s">
        <v>2</v>
      </c>
      <c r="F74" t="s">
        <v>3</v>
      </c>
      <c r="G74" t="s">
        <v>4</v>
      </c>
      <c r="H74" t="s">
        <v>5</v>
      </c>
      <c r="I74" t="s">
        <v>6</v>
      </c>
      <c r="J74" t="s">
        <v>7</v>
      </c>
      <c r="K74" t="s">
        <v>8</v>
      </c>
      <c r="L74" t="s">
        <v>9</v>
      </c>
      <c r="M74" t="s">
        <v>10</v>
      </c>
      <c r="N74" t="s">
        <v>11</v>
      </c>
      <c r="O74" t="s">
        <v>12</v>
      </c>
      <c r="P74" t="s">
        <v>112</v>
      </c>
      <c r="R74" s="14"/>
      <c r="S74" s="17"/>
      <c r="T74" s="17"/>
      <c r="U74" s="20"/>
      <c r="V74" s="16" t="str">
        <f t="shared" si="0"/>
        <v/>
      </c>
    </row>
    <row r="75" spans="2:22" x14ac:dyDescent="0.25">
      <c r="B75" s="1" t="s">
        <v>64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>
        <f>SUM(Sonstige_Fixkosten[[#This Row],[Januar]:[Dezember]])</f>
        <v>0</v>
      </c>
      <c r="P75" s="42" t="e">
        <f t="shared" ref="P75:P86" si="6">O75/$O$138</f>
        <v>#DIV/0!</v>
      </c>
      <c r="R75" s="14"/>
      <c r="S75" s="17"/>
      <c r="T75" s="17"/>
      <c r="U75" s="20"/>
      <c r="V75" s="16" t="str">
        <f t="shared" si="0"/>
        <v/>
      </c>
    </row>
    <row r="76" spans="2:22" x14ac:dyDescent="0.25">
      <c r="B76" s="1" t="s">
        <v>97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>
        <f>SUM(Sonstige_Fixkosten[[#This Row],[Januar]:[Dezember]])</f>
        <v>0</v>
      </c>
      <c r="P76" s="42" t="e">
        <f t="shared" si="6"/>
        <v>#DIV/0!</v>
      </c>
      <c r="R76" s="14"/>
      <c r="S76" s="17"/>
      <c r="T76" s="17"/>
      <c r="U76" s="20"/>
      <c r="V76" s="16" t="str">
        <f t="shared" si="0"/>
        <v/>
      </c>
    </row>
    <row r="77" spans="2:22" x14ac:dyDescent="0.25">
      <c r="B77" s="1" t="s">
        <v>54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>
        <f>SUM(Sonstige_Fixkosten[[#This Row],[Januar]:[Dezember]])</f>
        <v>0</v>
      </c>
      <c r="P77" s="42" t="e">
        <f t="shared" si="6"/>
        <v>#DIV/0!</v>
      </c>
      <c r="R77" s="14"/>
      <c r="S77" s="17"/>
      <c r="T77" s="17"/>
      <c r="U77" s="20"/>
      <c r="V77" s="16" t="str">
        <f t="shared" si="0"/>
        <v/>
      </c>
    </row>
    <row r="78" spans="2:22" x14ac:dyDescent="0.25">
      <c r="B78" s="1" t="s">
        <v>55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>
        <f>SUM(Sonstige_Fixkosten[[#This Row],[Januar]:[Dezember]])</f>
        <v>0</v>
      </c>
      <c r="P78" s="42" t="e">
        <f t="shared" si="6"/>
        <v>#DIV/0!</v>
      </c>
      <c r="R78" s="14"/>
      <c r="S78" s="17"/>
      <c r="T78" s="17"/>
      <c r="U78" s="20"/>
      <c r="V78" s="16" t="str">
        <f t="shared" si="0"/>
        <v/>
      </c>
    </row>
    <row r="79" spans="2:22" x14ac:dyDescent="0.25">
      <c r="B79" s="1" t="s">
        <v>56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>
        <f>SUM(Sonstige_Fixkosten[[#This Row],[Januar]:[Dezember]])</f>
        <v>0</v>
      </c>
      <c r="P79" s="42" t="e">
        <f t="shared" si="6"/>
        <v>#DIV/0!</v>
      </c>
      <c r="R79" s="14"/>
      <c r="S79" s="17"/>
      <c r="T79" s="17"/>
      <c r="U79" s="20"/>
      <c r="V79" s="16" t="str">
        <f t="shared" si="0"/>
        <v/>
      </c>
    </row>
    <row r="80" spans="2:22" x14ac:dyDescent="0.25">
      <c r="B80" s="1" t="s">
        <v>57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>
        <f>SUM(Sonstige_Fixkosten[[#This Row],[Januar]:[Dezember]])</f>
        <v>0</v>
      </c>
      <c r="P80" s="42" t="e">
        <f t="shared" si="6"/>
        <v>#DIV/0!</v>
      </c>
      <c r="R80" s="14"/>
      <c r="S80" s="17"/>
      <c r="T80" s="17"/>
      <c r="U80" s="20"/>
      <c r="V80" s="16" t="str">
        <f t="shared" si="0"/>
        <v/>
      </c>
    </row>
    <row r="81" spans="2:22" x14ac:dyDescent="0.25">
      <c r="B81" s="1" t="s">
        <v>58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>
        <f>SUM(Sonstige_Fixkosten[[#This Row],[Januar]:[Dezember]])</f>
        <v>0</v>
      </c>
      <c r="P81" s="42" t="e">
        <f t="shared" si="6"/>
        <v>#DIV/0!</v>
      </c>
      <c r="R81" s="14"/>
      <c r="S81" s="17"/>
      <c r="T81" s="17"/>
      <c r="U81" s="20"/>
      <c r="V81" s="16" t="str">
        <f t="shared" si="0"/>
        <v/>
      </c>
    </row>
    <row r="82" spans="2:22" x14ac:dyDescent="0.25">
      <c r="B82" s="1" t="s">
        <v>59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>
        <f>SUM(Sonstige_Fixkosten[[#This Row],[Januar]:[Dezember]])</f>
        <v>0</v>
      </c>
      <c r="P82" s="42" t="e">
        <f t="shared" si="6"/>
        <v>#DIV/0!</v>
      </c>
      <c r="R82" s="14"/>
      <c r="S82" s="17"/>
      <c r="T82" s="17"/>
      <c r="U82" s="20"/>
      <c r="V82" s="16" t="str">
        <f t="shared" si="0"/>
        <v/>
      </c>
    </row>
    <row r="83" spans="2:22" x14ac:dyDescent="0.25">
      <c r="B83" s="1" t="s">
        <v>60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>
        <f>SUM(Sonstige_Fixkosten[[#This Row],[Januar]:[Dezember]])</f>
        <v>0</v>
      </c>
      <c r="P83" s="42" t="e">
        <f t="shared" si="6"/>
        <v>#DIV/0!</v>
      </c>
      <c r="R83" s="14"/>
      <c r="S83" s="17"/>
      <c r="T83" s="17"/>
      <c r="U83" s="20"/>
      <c r="V83" s="16" t="str">
        <f t="shared" si="0"/>
        <v/>
      </c>
    </row>
    <row r="84" spans="2:22" x14ac:dyDescent="0.25">
      <c r="B84" s="1" t="s">
        <v>61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>
        <f>SUM(Sonstige_Fixkosten[[#This Row],[Januar]:[Dezember]])</f>
        <v>0</v>
      </c>
      <c r="P84" s="42" t="e">
        <f t="shared" si="6"/>
        <v>#DIV/0!</v>
      </c>
      <c r="R84" s="14"/>
      <c r="S84" s="17"/>
      <c r="T84" s="17"/>
      <c r="U84" s="20"/>
      <c r="V84" s="16" t="str">
        <f t="shared" si="0"/>
        <v/>
      </c>
    </row>
    <row r="85" spans="2:22" x14ac:dyDescent="0.25">
      <c r="B85" s="1" t="s">
        <v>65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>
        <f>SUM(Sonstige_Fixkosten[[#This Row],[Januar]:[Dezember]])</f>
        <v>0</v>
      </c>
      <c r="P85" s="42" t="e">
        <f t="shared" si="6"/>
        <v>#DIV/0!</v>
      </c>
      <c r="R85" s="14"/>
      <c r="S85" s="17"/>
      <c r="T85" s="17"/>
      <c r="U85" s="20"/>
      <c r="V85" s="16" t="str">
        <f t="shared" si="0"/>
        <v/>
      </c>
    </row>
    <row r="86" spans="2:22" x14ac:dyDescent="0.25">
      <c r="B86" s="1" t="s">
        <v>62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>
        <f>SUM(Sonstige_Fixkosten[[#This Row],[Januar]:[Dezember]])</f>
        <v>0</v>
      </c>
      <c r="P86" s="42" t="e">
        <f t="shared" si="6"/>
        <v>#DIV/0!</v>
      </c>
      <c r="R86" s="14"/>
      <c r="S86" s="17"/>
      <c r="T86" s="17"/>
      <c r="U86" s="20"/>
      <c r="V86" s="16" t="str">
        <f t="shared" si="0"/>
        <v/>
      </c>
    </row>
    <row r="87" spans="2:22" ht="15.75" thickBot="1" x14ac:dyDescent="0.3">
      <c r="B87" t="s">
        <v>69</v>
      </c>
      <c r="C87" s="2">
        <f>SUBTOTAL(109,Sonstige_Fixkosten[Januar])</f>
        <v>0</v>
      </c>
      <c r="D87" s="2">
        <f>SUBTOTAL(109,Sonstige_Fixkosten[Februar])</f>
        <v>0</v>
      </c>
      <c r="E87" s="2">
        <f>SUBTOTAL(109,Sonstige_Fixkosten[März])</f>
        <v>0</v>
      </c>
      <c r="F87" s="2">
        <f>SUBTOTAL(109,Sonstige_Fixkosten[April])</f>
        <v>0</v>
      </c>
      <c r="G87" s="2">
        <f>SUBTOTAL(109,Sonstige_Fixkosten[Mai])</f>
        <v>0</v>
      </c>
      <c r="H87" s="2">
        <f>SUBTOTAL(109,Sonstige_Fixkosten[Juni])</f>
        <v>0</v>
      </c>
      <c r="I87" s="2">
        <f>SUBTOTAL(109,Sonstige_Fixkosten[Juli])</f>
        <v>0</v>
      </c>
      <c r="J87" s="2">
        <f>SUBTOTAL(109,Sonstige_Fixkosten[August])</f>
        <v>0</v>
      </c>
      <c r="K87" s="2">
        <f>SUBTOTAL(109,Sonstige_Fixkosten[September])</f>
        <v>0</v>
      </c>
      <c r="L87" s="2">
        <f>SUBTOTAL(109,Sonstige_Fixkosten[Oktober])</f>
        <v>0</v>
      </c>
      <c r="M87" s="2">
        <f>SUBTOTAL(109,Sonstige_Fixkosten[November])</f>
        <v>0</v>
      </c>
      <c r="N87" s="2">
        <f>SUBTOTAL(109,Sonstige_Fixkosten[Dezember])</f>
        <v>0</v>
      </c>
      <c r="O87" s="2">
        <f>SUBTOTAL(109,Sonstige_Fixkosten[Gesamt])</f>
        <v>0</v>
      </c>
      <c r="P87" s="42" t="e">
        <f>O87/$O$138</f>
        <v>#DIV/0!</v>
      </c>
      <c r="Q87" s="34"/>
      <c r="R87" s="14"/>
      <c r="S87" s="17"/>
      <c r="T87" s="17"/>
      <c r="U87" s="20"/>
      <c r="V87" s="16" t="str">
        <f t="shared" si="0"/>
        <v/>
      </c>
    </row>
    <row r="88" spans="2:22" ht="15.75" thickTop="1" x14ac:dyDescent="0.25">
      <c r="B88" s="44" t="s">
        <v>100</v>
      </c>
      <c r="C88" s="45">
        <f>IFERROR(AVERAGEIF(Sonstige_Fixkosten[Januar],"&lt;&gt;0"),0)</f>
        <v>0</v>
      </c>
      <c r="D88" s="45">
        <f>IFERROR(AVERAGEIF(Sonstige_Fixkosten[Februar],"&lt;&gt;0"),0)</f>
        <v>0</v>
      </c>
      <c r="E88" s="45">
        <f>IFERROR(AVERAGEIF(Sonstige_Fixkosten[März],"&lt;&gt;0"),0)</f>
        <v>0</v>
      </c>
      <c r="F88" s="45">
        <f>IFERROR(AVERAGEIF(Sonstige_Fixkosten[April],"&lt;&gt;0"),0)</f>
        <v>0</v>
      </c>
      <c r="G88" s="45">
        <f>IFERROR(AVERAGEIF(Sonstige_Fixkosten[Mai],"&lt;&gt;0"),0)</f>
        <v>0</v>
      </c>
      <c r="H88" s="45">
        <f>IFERROR(AVERAGEIF(Sonstige_Fixkosten[Juni],"&lt;&gt;0"),0)</f>
        <v>0</v>
      </c>
      <c r="I88" s="45">
        <f>IFERROR(AVERAGEIF(Sonstige_Fixkosten[Juli],"&lt;&gt;0"),0)</f>
        <v>0</v>
      </c>
      <c r="J88" s="45">
        <f>IFERROR(AVERAGEIF(Sonstige_Fixkosten[August],"&lt;&gt;0"),0)</f>
        <v>0</v>
      </c>
      <c r="K88" s="45">
        <f>IFERROR(AVERAGEIF(Sonstige_Fixkosten[September],"&lt;&gt;0"),0)</f>
        <v>0</v>
      </c>
      <c r="L88" s="45">
        <f>IFERROR(AVERAGEIF(Sonstige_Fixkosten[Oktober],"&lt;&gt;0"),0)</f>
        <v>0</v>
      </c>
      <c r="M88" s="45">
        <f>IFERROR(AVERAGEIF(Sonstige_Fixkosten[November],"&lt;&gt;0"),0)</f>
        <v>0</v>
      </c>
      <c r="N88" s="45">
        <f>IFERROR(AVERAGEIF(Sonstige_Fixkosten[Dezember],"&lt;&gt;0"),0)</f>
        <v>0</v>
      </c>
      <c r="O88" s="45">
        <f>IFERROR(AVERAGEIF(Sonstige_Fixkosten[Gesamt],"&lt;&gt;0"),0)</f>
        <v>0</v>
      </c>
      <c r="P88" s="46" t="e">
        <f>O88/$O$138</f>
        <v>#DIV/0!</v>
      </c>
      <c r="R88" s="14"/>
      <c r="S88" s="17"/>
      <c r="T88" s="17"/>
      <c r="U88" s="20"/>
      <c r="V88" s="16"/>
    </row>
    <row r="89" spans="2:22" x14ac:dyDescent="0.25">
      <c r="R89" s="14"/>
      <c r="S89" s="17"/>
      <c r="T89" s="17"/>
      <c r="U89" s="20"/>
      <c r="V89" s="16" t="str">
        <f t="shared" si="0"/>
        <v/>
      </c>
    </row>
    <row r="90" spans="2:22" x14ac:dyDescent="0.25">
      <c r="R90" s="14"/>
      <c r="S90" s="17"/>
      <c r="T90" s="17"/>
      <c r="U90" s="20"/>
      <c r="V90" s="16" t="str">
        <f t="shared" si="0"/>
        <v/>
      </c>
    </row>
    <row r="91" spans="2:22" x14ac:dyDescent="0.25">
      <c r="R91" s="14"/>
      <c r="S91" s="17"/>
      <c r="T91" s="17"/>
      <c r="U91" s="20"/>
      <c r="V91" s="16" t="str">
        <f t="shared" si="0"/>
        <v/>
      </c>
    </row>
    <row r="92" spans="2:22" ht="26.25" x14ac:dyDescent="0.4">
      <c r="B92" s="55" t="s">
        <v>70</v>
      </c>
      <c r="R92" s="14"/>
      <c r="S92" s="17"/>
      <c r="T92" s="17"/>
      <c r="U92" s="20"/>
      <c r="V92" s="16" t="str">
        <f t="shared" si="0"/>
        <v/>
      </c>
    </row>
    <row r="93" spans="2:22" x14ac:dyDescent="0.25">
      <c r="R93" s="14"/>
      <c r="S93" s="17"/>
      <c r="T93" s="17"/>
      <c r="U93" s="20"/>
      <c r="V93" s="16" t="str">
        <f t="shared" si="0"/>
        <v/>
      </c>
    </row>
    <row r="94" spans="2:22" x14ac:dyDescent="0.25">
      <c r="B94" t="s">
        <v>71</v>
      </c>
      <c r="C94" t="s">
        <v>0</v>
      </c>
      <c r="D94" t="s">
        <v>1</v>
      </c>
      <c r="E94" t="s">
        <v>2</v>
      </c>
      <c r="F94" t="s">
        <v>3</v>
      </c>
      <c r="G94" t="s">
        <v>4</v>
      </c>
      <c r="H94" t="s">
        <v>5</v>
      </c>
      <c r="I94" t="s">
        <v>6</v>
      </c>
      <c r="J94" t="s">
        <v>7</v>
      </c>
      <c r="K94" t="s">
        <v>8</v>
      </c>
      <c r="L94" t="s">
        <v>9</v>
      </c>
      <c r="M94" t="s">
        <v>10</v>
      </c>
      <c r="N94" t="s">
        <v>11</v>
      </c>
      <c r="O94" t="s">
        <v>12</v>
      </c>
      <c r="P94" t="s">
        <v>112</v>
      </c>
      <c r="R94" s="14"/>
      <c r="S94" s="17"/>
      <c r="T94" s="17"/>
      <c r="U94" s="20"/>
      <c r="V94" s="16" t="str">
        <f t="shared" si="0"/>
        <v/>
      </c>
    </row>
    <row r="95" spans="2:22" x14ac:dyDescent="0.25">
      <c r="B95" s="1" t="s">
        <v>73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>
        <f>SUM(Lebenshaltung[[#This Row],[Januar]:[Dezember]])</f>
        <v>0</v>
      </c>
      <c r="P95" s="42" t="e">
        <f t="shared" ref="P95:P99" si="7">O95/$O$138</f>
        <v>#DIV/0!</v>
      </c>
      <c r="R95" s="14"/>
      <c r="S95" s="17"/>
      <c r="T95" s="17"/>
      <c r="U95" s="20"/>
      <c r="V95" s="16" t="str">
        <f t="shared" si="0"/>
        <v/>
      </c>
    </row>
    <row r="96" spans="2:22" x14ac:dyDescent="0.25">
      <c r="B96" s="1" t="s">
        <v>74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>
        <f>SUM(Lebenshaltung[[#This Row],[Januar]:[Dezember]])</f>
        <v>0</v>
      </c>
      <c r="P96" s="42" t="e">
        <f t="shared" si="7"/>
        <v>#DIV/0!</v>
      </c>
      <c r="R96" s="14"/>
      <c r="S96" s="17"/>
      <c r="T96" s="17"/>
      <c r="U96" s="20"/>
      <c r="V96" s="16" t="str">
        <f t="shared" si="0"/>
        <v/>
      </c>
    </row>
    <row r="97" spans="2:22" x14ac:dyDescent="0.25">
      <c r="B97" s="1" t="s">
        <v>99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>
        <f>SUM(Lebenshaltung[[#This Row],[Januar]:[Dezember]])</f>
        <v>0</v>
      </c>
      <c r="P97" s="42" t="e">
        <f t="shared" si="7"/>
        <v>#DIV/0!</v>
      </c>
      <c r="R97" s="14"/>
      <c r="S97" s="17"/>
      <c r="T97" s="17"/>
      <c r="U97" s="20"/>
      <c r="V97" s="16" t="str">
        <f t="shared" si="0"/>
        <v/>
      </c>
    </row>
    <row r="98" spans="2:22" x14ac:dyDescent="0.25">
      <c r="B98" s="1" t="s">
        <v>75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>
        <f>SUM(Lebenshaltung[[#This Row],[Januar]:[Dezember]])</f>
        <v>0</v>
      </c>
      <c r="P98" s="42" t="e">
        <f t="shared" si="7"/>
        <v>#DIV/0!</v>
      </c>
      <c r="R98" s="14"/>
      <c r="S98" s="17"/>
      <c r="T98" s="17"/>
      <c r="U98" s="20"/>
      <c r="V98" s="16" t="str">
        <f t="shared" si="0"/>
        <v/>
      </c>
    </row>
    <row r="99" spans="2:22" x14ac:dyDescent="0.25">
      <c r="B99" s="1" t="s">
        <v>76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>
        <f>SUM(Lebenshaltung[[#This Row],[Januar]:[Dezember]])</f>
        <v>0</v>
      </c>
      <c r="P99" s="42" t="e">
        <f t="shared" si="7"/>
        <v>#DIV/0!</v>
      </c>
      <c r="R99" s="14"/>
      <c r="S99" s="17"/>
      <c r="T99" s="17"/>
      <c r="U99" s="20"/>
      <c r="V99" s="16" t="str">
        <f t="shared" ref="V99:V142" si="8">IF(S99-T99=0,"",S99-T99)</f>
        <v/>
      </c>
    </row>
    <row r="100" spans="2:22" ht="15.75" thickBot="1" x14ac:dyDescent="0.3">
      <c r="B100" t="s">
        <v>72</v>
      </c>
      <c r="C100" s="2">
        <f>SUBTOTAL(109,Lebenshaltung[Januar])</f>
        <v>0</v>
      </c>
      <c r="D100" s="2">
        <f>SUBTOTAL(109,Lebenshaltung[Februar])</f>
        <v>0</v>
      </c>
      <c r="E100" s="2">
        <f>SUBTOTAL(109,Lebenshaltung[März])</f>
        <v>0</v>
      </c>
      <c r="F100" s="2">
        <f>SUBTOTAL(109,Lebenshaltung[April])</f>
        <v>0</v>
      </c>
      <c r="G100" s="2">
        <f>SUBTOTAL(109,Lebenshaltung[Mai])</f>
        <v>0</v>
      </c>
      <c r="H100" s="2">
        <f>SUBTOTAL(109,Lebenshaltung[Juni])</f>
        <v>0</v>
      </c>
      <c r="I100" s="2">
        <f>SUBTOTAL(109,Lebenshaltung[Juli])</f>
        <v>0</v>
      </c>
      <c r="J100" s="2">
        <f>SUBTOTAL(109,Lebenshaltung[August])</f>
        <v>0</v>
      </c>
      <c r="K100" s="2">
        <f>SUBTOTAL(109,Lebenshaltung[September])</f>
        <v>0</v>
      </c>
      <c r="L100" s="2">
        <f>SUBTOTAL(109,Lebenshaltung[Oktober])</f>
        <v>0</v>
      </c>
      <c r="M100" s="2">
        <f>SUBTOTAL(109,Lebenshaltung[November])</f>
        <v>0</v>
      </c>
      <c r="N100" s="2">
        <f>SUBTOTAL(109,Lebenshaltung[Dezember])</f>
        <v>0</v>
      </c>
      <c r="O100" s="2">
        <f>SUBTOTAL(109,Lebenshaltung[Gesamt])</f>
        <v>0</v>
      </c>
      <c r="P100" s="42" t="e">
        <f>O100/$O$138</f>
        <v>#DIV/0!</v>
      </c>
      <c r="Q100" s="34"/>
      <c r="R100" s="14"/>
      <c r="S100" s="17"/>
      <c r="T100" s="17"/>
      <c r="U100" s="20"/>
      <c r="V100" s="16" t="str">
        <f t="shared" si="8"/>
        <v/>
      </c>
    </row>
    <row r="101" spans="2:22" ht="15.75" thickTop="1" x14ac:dyDescent="0.25">
      <c r="B101" s="56" t="s">
        <v>100</v>
      </c>
      <c r="C101" s="57">
        <f>IFERROR(AVERAGEIF(Lebenshaltung[Januar],"&lt;&gt;0"),0)</f>
        <v>0</v>
      </c>
      <c r="D101" s="57">
        <f>IFERROR(AVERAGEIF(Lebenshaltung[Februar],"&lt;&gt;0"),0)</f>
        <v>0</v>
      </c>
      <c r="E101" s="57">
        <f>IFERROR(AVERAGEIF(Lebenshaltung[März],"&lt;&gt;0"),0)</f>
        <v>0</v>
      </c>
      <c r="F101" s="57">
        <f>IFERROR(AVERAGEIF(Lebenshaltung[April],"&lt;&gt;0"),0)</f>
        <v>0</v>
      </c>
      <c r="G101" s="57">
        <f>IFERROR(AVERAGEIF(Lebenshaltung[Mai],"&lt;&gt;0"),0)</f>
        <v>0</v>
      </c>
      <c r="H101" s="57">
        <f>IFERROR(AVERAGEIF(Lebenshaltung[Juni],"&lt;&gt;0"),0)</f>
        <v>0</v>
      </c>
      <c r="I101" s="57">
        <f>IFERROR(AVERAGEIF(Lebenshaltung[Juli],"&lt;&gt;0"),0)</f>
        <v>0</v>
      </c>
      <c r="J101" s="57">
        <f>IFERROR(AVERAGEIF(Lebenshaltung[August],"&lt;&gt;0"),0)</f>
        <v>0</v>
      </c>
      <c r="K101" s="57">
        <f>IFERROR(AVERAGEIF(Lebenshaltung[September],"&lt;&gt;0"),0)</f>
        <v>0</v>
      </c>
      <c r="L101" s="57">
        <f>IFERROR(AVERAGEIF(Lebenshaltung[Oktober],"&lt;&gt;0"),0)</f>
        <v>0</v>
      </c>
      <c r="M101" s="57">
        <f>IFERROR(AVERAGEIF(Lebenshaltung[November],"&lt;&gt;0"),0)</f>
        <v>0</v>
      </c>
      <c r="N101" s="57">
        <f>IFERROR(AVERAGEIF(Lebenshaltung[Dezember],"&lt;&gt;0"),0)</f>
        <v>0</v>
      </c>
      <c r="O101" s="57">
        <f>IFERROR(AVERAGEIF(Lebenshaltung[Gesamt],"&lt;&gt;0"),0)</f>
        <v>0</v>
      </c>
      <c r="P101" s="58" t="e">
        <f>O101/$O$138</f>
        <v>#DIV/0!</v>
      </c>
      <c r="R101" s="14"/>
      <c r="S101" s="17"/>
      <c r="T101" s="17"/>
      <c r="U101" s="20"/>
      <c r="V101" s="16"/>
    </row>
    <row r="102" spans="2:22" x14ac:dyDescent="0.25">
      <c r="R102" s="14"/>
      <c r="S102" s="17"/>
      <c r="T102" s="17"/>
      <c r="U102" s="20"/>
      <c r="V102" s="16" t="str">
        <f t="shared" si="8"/>
        <v/>
      </c>
    </row>
    <row r="103" spans="2:22" x14ac:dyDescent="0.25">
      <c r="R103" s="14"/>
      <c r="S103" s="17"/>
      <c r="T103" s="17"/>
      <c r="U103" s="20"/>
      <c r="V103" s="16" t="str">
        <f t="shared" si="8"/>
        <v/>
      </c>
    </row>
    <row r="104" spans="2:22" x14ac:dyDescent="0.25">
      <c r="B104" t="s">
        <v>77</v>
      </c>
      <c r="C104" t="s">
        <v>0</v>
      </c>
      <c r="D104" t="s">
        <v>1</v>
      </c>
      <c r="E104" t="s">
        <v>2</v>
      </c>
      <c r="F104" t="s">
        <v>3</v>
      </c>
      <c r="G104" t="s">
        <v>4</v>
      </c>
      <c r="H104" t="s">
        <v>5</v>
      </c>
      <c r="I104" t="s">
        <v>6</v>
      </c>
      <c r="J104" t="s">
        <v>7</v>
      </c>
      <c r="K104" t="s">
        <v>8</v>
      </c>
      <c r="L104" t="s">
        <v>9</v>
      </c>
      <c r="M104" t="s">
        <v>10</v>
      </c>
      <c r="N104" t="s">
        <v>11</v>
      </c>
      <c r="O104" t="s">
        <v>12</v>
      </c>
      <c r="P104" t="s">
        <v>112</v>
      </c>
      <c r="R104" s="14"/>
      <c r="S104" s="17"/>
      <c r="T104" s="17"/>
      <c r="U104" s="20"/>
      <c r="V104" s="16" t="str">
        <f t="shared" si="8"/>
        <v/>
      </c>
    </row>
    <row r="105" spans="2:22" x14ac:dyDescent="0.25">
      <c r="B105" s="1" t="s">
        <v>79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>
        <f>SUM(Mobilität[[#This Row],[Januar]:[Dezember]])</f>
        <v>0</v>
      </c>
      <c r="P105" s="42" t="e">
        <f t="shared" ref="P105:P106" si="9">O105/$O$138</f>
        <v>#DIV/0!</v>
      </c>
      <c r="R105" s="14"/>
      <c r="S105" s="17"/>
      <c r="T105" s="17"/>
      <c r="U105" s="20"/>
      <c r="V105" s="16" t="str">
        <f t="shared" si="8"/>
        <v/>
      </c>
    </row>
    <row r="106" spans="2:22" x14ac:dyDescent="0.25">
      <c r="B106" s="1" t="s">
        <v>80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>
        <f>SUM(Mobilität[[#This Row],[Januar]:[Dezember]])</f>
        <v>0</v>
      </c>
      <c r="P106" s="42" t="e">
        <f t="shared" si="9"/>
        <v>#DIV/0!</v>
      </c>
      <c r="R106" s="14"/>
      <c r="S106" s="17"/>
      <c r="T106" s="17"/>
      <c r="U106" s="20"/>
      <c r="V106" s="16" t="str">
        <f t="shared" si="8"/>
        <v/>
      </c>
    </row>
    <row r="107" spans="2:22" ht="15.75" thickBot="1" x14ac:dyDescent="0.3">
      <c r="B107" t="s">
        <v>78</v>
      </c>
      <c r="C107" s="2">
        <f>SUBTOTAL(109,Mobilität[Januar])</f>
        <v>0</v>
      </c>
      <c r="D107" s="2">
        <f>SUBTOTAL(109,Mobilität[Februar])</f>
        <v>0</v>
      </c>
      <c r="E107" s="2">
        <f>SUBTOTAL(109,Mobilität[März])</f>
        <v>0</v>
      </c>
      <c r="F107" s="2">
        <f>SUBTOTAL(109,Mobilität[April])</f>
        <v>0</v>
      </c>
      <c r="G107" s="2">
        <f>SUBTOTAL(109,Mobilität[Mai])</f>
        <v>0</v>
      </c>
      <c r="H107" s="2">
        <f>SUBTOTAL(109,Mobilität[Juni])</f>
        <v>0</v>
      </c>
      <c r="I107" s="2">
        <f>SUBTOTAL(109,Mobilität[Juli])</f>
        <v>0</v>
      </c>
      <c r="J107" s="2">
        <f>SUBTOTAL(109,Mobilität[August])</f>
        <v>0</v>
      </c>
      <c r="K107" s="2">
        <f>SUBTOTAL(109,Mobilität[September])</f>
        <v>0</v>
      </c>
      <c r="L107" s="2">
        <f>SUBTOTAL(109,Mobilität[Oktober])</f>
        <v>0</v>
      </c>
      <c r="M107" s="2">
        <f>SUBTOTAL(109,Mobilität[November])</f>
        <v>0</v>
      </c>
      <c r="N107" s="2">
        <f>SUBTOTAL(109,Mobilität[Dezember])</f>
        <v>0</v>
      </c>
      <c r="O107" s="2">
        <f>SUBTOTAL(109,Mobilität[Gesamt])</f>
        <v>0</v>
      </c>
      <c r="P107" s="42" t="e">
        <f>O107/$O$138</f>
        <v>#DIV/0!</v>
      </c>
      <c r="Q107" s="34"/>
      <c r="R107" s="14"/>
      <c r="S107" s="17"/>
      <c r="T107" s="17"/>
      <c r="U107" s="20"/>
      <c r="V107" s="16" t="str">
        <f t="shared" si="8"/>
        <v/>
      </c>
    </row>
    <row r="108" spans="2:22" ht="15.75" thickTop="1" x14ac:dyDescent="0.25">
      <c r="B108" s="56" t="s">
        <v>100</v>
      </c>
      <c r="C108" s="57">
        <f>IFERROR(AVERAGEIF(Mobilität[Januar],"&lt;&gt;0"),0)</f>
        <v>0</v>
      </c>
      <c r="D108" s="57">
        <f>IFERROR(AVERAGEIF(Mobilität[Februar],"&lt;&gt;0"),0)</f>
        <v>0</v>
      </c>
      <c r="E108" s="57">
        <f>IFERROR(AVERAGEIF(Mobilität[März],"&lt;&gt;0"),0)</f>
        <v>0</v>
      </c>
      <c r="F108" s="57">
        <f>IFERROR(AVERAGEIF(Mobilität[April],"&lt;&gt;0"),0)</f>
        <v>0</v>
      </c>
      <c r="G108" s="57">
        <f>IFERROR(AVERAGEIF(Mobilität[Mai],"&lt;&gt;0"),0)</f>
        <v>0</v>
      </c>
      <c r="H108" s="57">
        <f>IFERROR(AVERAGEIF(Mobilität[Juni],"&lt;&gt;0"),0)</f>
        <v>0</v>
      </c>
      <c r="I108" s="57">
        <f>IFERROR(AVERAGEIF(Mobilität[Juli],"&lt;&gt;0"),0)</f>
        <v>0</v>
      </c>
      <c r="J108" s="57">
        <f>IFERROR(AVERAGEIF(Mobilität[August],"&lt;&gt;0"),0)</f>
        <v>0</v>
      </c>
      <c r="K108" s="57">
        <f>IFERROR(AVERAGEIF(Mobilität[September],"&lt;&gt;0"),0)</f>
        <v>0</v>
      </c>
      <c r="L108" s="57">
        <f>IFERROR(AVERAGEIF(Mobilität[Oktober],"&lt;&gt;0"),0)</f>
        <v>0</v>
      </c>
      <c r="M108" s="57">
        <f>IFERROR(AVERAGEIF(Mobilität[November],"&lt;&gt;0"),0)</f>
        <v>0</v>
      </c>
      <c r="N108" s="57">
        <f>IFERROR(AVERAGEIF(Mobilität[Dezember],"&lt;&gt;0"),0)</f>
        <v>0</v>
      </c>
      <c r="O108" s="57">
        <f>IFERROR(AVERAGEIF(Mobilität[Gesamt],"&lt;&gt;0"),0)</f>
        <v>0</v>
      </c>
      <c r="P108" s="58" t="e">
        <f>O108/$O$138</f>
        <v>#DIV/0!</v>
      </c>
      <c r="R108" s="14"/>
      <c r="S108" s="17"/>
      <c r="T108" s="17"/>
      <c r="U108" s="20"/>
      <c r="V108" s="16"/>
    </row>
    <row r="109" spans="2:22" x14ac:dyDescent="0.25">
      <c r="R109" s="14"/>
      <c r="S109" s="17"/>
      <c r="T109" s="17"/>
      <c r="U109" s="20"/>
      <c r="V109" s="16" t="str">
        <f t="shared" si="8"/>
        <v/>
      </c>
    </row>
    <row r="110" spans="2:22" x14ac:dyDescent="0.25">
      <c r="R110" s="14"/>
      <c r="S110" s="17"/>
      <c r="T110" s="17"/>
      <c r="U110" s="20"/>
      <c r="V110" s="16" t="str">
        <f t="shared" si="8"/>
        <v/>
      </c>
    </row>
    <row r="111" spans="2:22" x14ac:dyDescent="0.25">
      <c r="B111" t="s">
        <v>85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t="s">
        <v>5</v>
      </c>
      <c r="I111" t="s">
        <v>6</v>
      </c>
      <c r="J111" t="s">
        <v>7</v>
      </c>
      <c r="K111" t="s">
        <v>8</v>
      </c>
      <c r="L111" t="s">
        <v>9</v>
      </c>
      <c r="M111" t="s">
        <v>10</v>
      </c>
      <c r="N111" t="s">
        <v>11</v>
      </c>
      <c r="O111" t="s">
        <v>12</v>
      </c>
      <c r="P111" t="s">
        <v>112</v>
      </c>
      <c r="R111" s="14"/>
      <c r="S111" s="17"/>
      <c r="T111" s="17"/>
      <c r="U111" s="20"/>
      <c r="V111" s="16" t="str">
        <f t="shared" si="8"/>
        <v/>
      </c>
    </row>
    <row r="112" spans="2:22" x14ac:dyDescent="0.25">
      <c r="B112" s="1" t="s">
        <v>81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>
        <f>SUM(Entertainment[[#This Row],[Januar]:[Dezember]])</f>
        <v>0</v>
      </c>
      <c r="P112" s="42" t="e">
        <f t="shared" ref="P112:P114" si="10">O112/$O$138</f>
        <v>#DIV/0!</v>
      </c>
      <c r="R112" s="14"/>
      <c r="S112" s="17"/>
      <c r="T112" s="17"/>
      <c r="U112" s="20"/>
      <c r="V112" s="16" t="str">
        <f t="shared" si="8"/>
        <v/>
      </c>
    </row>
    <row r="113" spans="2:22" x14ac:dyDescent="0.25">
      <c r="B113" s="1" t="s">
        <v>82</v>
      </c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>
        <f>SUM(Entertainment[[#This Row],[Januar]:[Dezember]])</f>
        <v>0</v>
      </c>
      <c r="P113" s="42" t="e">
        <f t="shared" si="10"/>
        <v>#DIV/0!</v>
      </c>
      <c r="R113" s="14"/>
      <c r="S113" s="17"/>
      <c r="T113" s="17"/>
      <c r="U113" s="20"/>
      <c r="V113" s="16" t="str">
        <f t="shared" si="8"/>
        <v/>
      </c>
    </row>
    <row r="114" spans="2:22" x14ac:dyDescent="0.25">
      <c r="B114" s="1" t="s">
        <v>83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>
        <f>SUM(Entertainment[[#This Row],[Januar]:[Dezember]])</f>
        <v>0</v>
      </c>
      <c r="P114" s="42" t="e">
        <f t="shared" si="10"/>
        <v>#DIV/0!</v>
      </c>
      <c r="R114" s="14"/>
      <c r="S114" s="17"/>
      <c r="T114" s="17"/>
      <c r="U114" s="20"/>
      <c r="V114" s="16" t="str">
        <f t="shared" si="8"/>
        <v/>
      </c>
    </row>
    <row r="115" spans="2:22" ht="15.75" thickBot="1" x14ac:dyDescent="0.3">
      <c r="B115" t="s">
        <v>84</v>
      </c>
      <c r="C115" s="2">
        <f>SUBTOTAL(109,Entertainment[Januar])</f>
        <v>0</v>
      </c>
      <c r="D115" s="2">
        <f>SUBTOTAL(109,Entertainment[Februar])</f>
        <v>0</v>
      </c>
      <c r="E115" s="2">
        <f>SUBTOTAL(109,Entertainment[März])</f>
        <v>0</v>
      </c>
      <c r="F115" s="2">
        <f>SUBTOTAL(109,Entertainment[April])</f>
        <v>0</v>
      </c>
      <c r="G115" s="2">
        <f>SUBTOTAL(109,Entertainment[Mai])</f>
        <v>0</v>
      </c>
      <c r="H115" s="2">
        <f>SUBTOTAL(109,Entertainment[Juni])</f>
        <v>0</v>
      </c>
      <c r="I115" s="2">
        <f>SUBTOTAL(109,Entertainment[Juli])</f>
        <v>0</v>
      </c>
      <c r="J115" s="2">
        <f>SUBTOTAL(109,Entertainment[August])</f>
        <v>0</v>
      </c>
      <c r="K115" s="2">
        <f>SUBTOTAL(109,Entertainment[September])</f>
        <v>0</v>
      </c>
      <c r="L115" s="2">
        <f>SUBTOTAL(109,Entertainment[Oktober])</f>
        <v>0</v>
      </c>
      <c r="M115" s="2">
        <f>SUBTOTAL(109,Entertainment[November])</f>
        <v>0</v>
      </c>
      <c r="N115" s="2">
        <f>SUBTOTAL(109,Entertainment[Dezember])</f>
        <v>0</v>
      </c>
      <c r="O115" s="2">
        <f>SUBTOTAL(109,Entertainment[Gesamt])</f>
        <v>0</v>
      </c>
      <c r="P115" s="42" t="e">
        <f>O115/$O$138</f>
        <v>#DIV/0!</v>
      </c>
      <c r="Q115" s="34"/>
      <c r="R115" s="14"/>
      <c r="S115" s="17"/>
      <c r="T115" s="17"/>
      <c r="U115" s="20"/>
      <c r="V115" s="16" t="str">
        <f t="shared" si="8"/>
        <v/>
      </c>
    </row>
    <row r="116" spans="2:22" ht="15.75" thickTop="1" x14ac:dyDescent="0.25">
      <c r="B116" s="56" t="s">
        <v>100</v>
      </c>
      <c r="C116" s="57">
        <f>IFERROR(AVERAGEIF(Entertainment[Januar],"&lt;&gt;0"),0)</f>
        <v>0</v>
      </c>
      <c r="D116" s="57">
        <f>IFERROR(AVERAGEIF(Entertainment[Februar],"&lt;&gt;0"),0)</f>
        <v>0</v>
      </c>
      <c r="E116" s="57">
        <f>IFERROR(AVERAGEIF(Entertainment[März],"&lt;&gt;0"),0)</f>
        <v>0</v>
      </c>
      <c r="F116" s="57">
        <f>IFERROR(AVERAGEIF(Entertainment[April],"&lt;&gt;0"),0)</f>
        <v>0</v>
      </c>
      <c r="G116" s="57">
        <f>IFERROR(AVERAGEIF(Entertainment[Mai],"&lt;&gt;0"),0)</f>
        <v>0</v>
      </c>
      <c r="H116" s="57">
        <f>IFERROR(AVERAGEIF(Entertainment[Juni],"&lt;&gt;0"),0)</f>
        <v>0</v>
      </c>
      <c r="I116" s="57">
        <f>IFERROR(AVERAGEIF(Entertainment[Juli],"&lt;&gt;0"),0)</f>
        <v>0</v>
      </c>
      <c r="J116" s="57">
        <f>IFERROR(AVERAGEIF(Entertainment[August],"&lt;&gt;0"),0)</f>
        <v>0</v>
      </c>
      <c r="K116" s="57">
        <f>IFERROR(AVERAGEIF(Entertainment[September],"&lt;&gt;0"),0)</f>
        <v>0</v>
      </c>
      <c r="L116" s="57">
        <f>IFERROR(AVERAGEIF(Entertainment[Oktober],"&lt;&gt;0"),0)</f>
        <v>0</v>
      </c>
      <c r="M116" s="57">
        <f>IFERROR(AVERAGEIF(Entertainment[November],"&lt;&gt;0"),0)</f>
        <v>0</v>
      </c>
      <c r="N116" s="57">
        <f>IFERROR(AVERAGEIF(Entertainment[Dezember],"&lt;&gt;0"),0)</f>
        <v>0</v>
      </c>
      <c r="O116" s="57">
        <f>IFERROR(AVERAGEIF(Entertainment[Gesamt],"&lt;&gt;0"),0)</f>
        <v>0</v>
      </c>
      <c r="P116" s="58" t="e">
        <f>O116/$O$138</f>
        <v>#DIV/0!</v>
      </c>
      <c r="R116" s="14"/>
      <c r="S116" s="17"/>
      <c r="T116" s="17"/>
      <c r="U116" s="20"/>
      <c r="V116" s="16"/>
    </row>
    <row r="117" spans="2:22" x14ac:dyDescent="0.25">
      <c r="R117" s="14"/>
      <c r="S117" s="17"/>
      <c r="T117" s="17"/>
      <c r="U117" s="20"/>
      <c r="V117" s="16" t="str">
        <f t="shared" si="8"/>
        <v/>
      </c>
    </row>
    <row r="118" spans="2:22" x14ac:dyDescent="0.25">
      <c r="R118" s="14"/>
      <c r="S118" s="17"/>
      <c r="T118" s="17"/>
      <c r="U118" s="20"/>
      <c r="V118" s="16" t="str">
        <f t="shared" si="8"/>
        <v/>
      </c>
    </row>
    <row r="119" spans="2:22" x14ac:dyDescent="0.25">
      <c r="B119" t="s">
        <v>86</v>
      </c>
      <c r="C119" t="s">
        <v>0</v>
      </c>
      <c r="D119" t="s">
        <v>1</v>
      </c>
      <c r="E119" t="s">
        <v>2</v>
      </c>
      <c r="F119" t="s">
        <v>3</v>
      </c>
      <c r="G119" t="s">
        <v>4</v>
      </c>
      <c r="H119" t="s">
        <v>5</v>
      </c>
      <c r="I119" t="s">
        <v>6</v>
      </c>
      <c r="J119" t="s">
        <v>7</v>
      </c>
      <c r="K119" t="s">
        <v>8</v>
      </c>
      <c r="L119" t="s">
        <v>9</v>
      </c>
      <c r="M119" t="s">
        <v>10</v>
      </c>
      <c r="N119" t="s">
        <v>11</v>
      </c>
      <c r="O119" t="s">
        <v>12</v>
      </c>
      <c r="P119" t="s">
        <v>112</v>
      </c>
      <c r="R119" s="14"/>
      <c r="S119" s="17"/>
      <c r="T119" s="17"/>
      <c r="U119" s="20"/>
      <c r="V119" s="16" t="str">
        <f t="shared" si="8"/>
        <v/>
      </c>
    </row>
    <row r="120" spans="2:22" x14ac:dyDescent="0.25">
      <c r="B120" s="1" t="s">
        <v>88</v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>
        <f>SUM(Sonstige_Variable_Kosten[[#This Row],[Januar]:[Dezember]])</f>
        <v>0</v>
      </c>
      <c r="P120" s="42" t="e">
        <f t="shared" ref="P120:P127" si="11">O120/$O$138</f>
        <v>#DIV/0!</v>
      </c>
      <c r="Q120" s="42"/>
      <c r="R120" s="14"/>
      <c r="S120" s="17"/>
      <c r="T120" s="17"/>
      <c r="U120" s="20"/>
      <c r="V120" s="16" t="str">
        <f t="shared" si="8"/>
        <v/>
      </c>
    </row>
    <row r="121" spans="2:22" x14ac:dyDescent="0.25">
      <c r="B121" s="1" t="s">
        <v>98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>
        <f>SUM(Sonstige_Variable_Kosten[[#This Row],[Januar]:[Dezember]])</f>
        <v>0</v>
      </c>
      <c r="P121" s="42" t="e">
        <f t="shared" si="11"/>
        <v>#DIV/0!</v>
      </c>
      <c r="Q121" s="42"/>
      <c r="R121" s="14"/>
      <c r="S121" s="17"/>
      <c r="T121" s="17"/>
      <c r="U121" s="20"/>
      <c r="V121" s="16" t="str">
        <f t="shared" si="8"/>
        <v/>
      </c>
    </row>
    <row r="122" spans="2:22" x14ac:dyDescent="0.25">
      <c r="B122" s="1" t="s">
        <v>89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>
        <f>SUM(Sonstige_Variable_Kosten[[#This Row],[Januar]:[Dezember]])</f>
        <v>0</v>
      </c>
      <c r="P122" s="42" t="e">
        <f t="shared" si="11"/>
        <v>#DIV/0!</v>
      </c>
      <c r="Q122" s="42"/>
      <c r="R122" s="14"/>
      <c r="S122" s="17"/>
      <c r="T122" s="17"/>
      <c r="U122" s="20"/>
      <c r="V122" s="16" t="str">
        <f t="shared" si="8"/>
        <v/>
      </c>
    </row>
    <row r="123" spans="2:22" x14ac:dyDescent="0.25">
      <c r="B123" s="1" t="s">
        <v>90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>
        <f>SUM(Sonstige_Variable_Kosten[[#This Row],[Januar]:[Dezember]])</f>
        <v>0</v>
      </c>
      <c r="P123" s="42" t="e">
        <f t="shared" si="11"/>
        <v>#DIV/0!</v>
      </c>
      <c r="Q123" s="42"/>
      <c r="R123" s="14"/>
      <c r="S123" s="17"/>
      <c r="T123" s="17"/>
      <c r="U123" s="20"/>
      <c r="V123" s="16" t="str">
        <f t="shared" si="8"/>
        <v/>
      </c>
    </row>
    <row r="124" spans="2:22" x14ac:dyDescent="0.25">
      <c r="B124" s="1" t="s">
        <v>91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>
        <f>SUM(Sonstige_Variable_Kosten[[#This Row],[Januar]:[Dezember]])</f>
        <v>0</v>
      </c>
      <c r="P124" s="42" t="e">
        <f t="shared" si="11"/>
        <v>#DIV/0!</v>
      </c>
      <c r="Q124" s="42"/>
      <c r="R124" s="14"/>
      <c r="S124" s="17"/>
      <c r="T124" s="17"/>
      <c r="U124" s="20"/>
      <c r="V124" s="16" t="str">
        <f t="shared" si="8"/>
        <v/>
      </c>
    </row>
    <row r="125" spans="2:22" x14ac:dyDescent="0.25">
      <c r="B125" s="1" t="s">
        <v>48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>
        <f>SUM(Sonstige_Variable_Kosten[[#This Row],[Januar]:[Dezember]])</f>
        <v>0</v>
      </c>
      <c r="P125" s="42" t="e">
        <f t="shared" si="11"/>
        <v>#DIV/0!</v>
      </c>
      <c r="Q125" s="42"/>
      <c r="R125" s="14"/>
      <c r="S125" s="17"/>
      <c r="T125" s="17"/>
      <c r="U125" s="20"/>
      <c r="V125" s="16" t="str">
        <f t="shared" si="8"/>
        <v/>
      </c>
    </row>
    <row r="126" spans="2:22" x14ac:dyDescent="0.25">
      <c r="B126" s="1" t="s">
        <v>92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>
        <f>SUM(Sonstige_Variable_Kosten[[#This Row],[Januar]:[Dezember]])</f>
        <v>0</v>
      </c>
      <c r="P126" s="42" t="e">
        <f t="shared" si="11"/>
        <v>#DIV/0!</v>
      </c>
      <c r="Q126" s="42"/>
      <c r="R126" s="14"/>
      <c r="S126" s="17"/>
      <c r="T126" s="17"/>
      <c r="U126" s="20"/>
      <c r="V126" s="16" t="str">
        <f t="shared" si="8"/>
        <v/>
      </c>
    </row>
    <row r="127" spans="2:22" x14ac:dyDescent="0.25">
      <c r="B127" s="1" t="s">
        <v>76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>
        <f>SUM(Sonstige_Variable_Kosten[[#This Row],[Januar]:[Dezember]])</f>
        <v>0</v>
      </c>
      <c r="P127" s="42" t="e">
        <f t="shared" si="11"/>
        <v>#DIV/0!</v>
      </c>
      <c r="Q127" s="42"/>
      <c r="R127" s="14"/>
      <c r="S127" s="17"/>
      <c r="T127" s="17"/>
      <c r="U127" s="20"/>
      <c r="V127" s="16" t="str">
        <f t="shared" si="8"/>
        <v/>
      </c>
    </row>
    <row r="128" spans="2:22" ht="15.75" thickBot="1" x14ac:dyDescent="0.3">
      <c r="B128" t="s">
        <v>87</v>
      </c>
      <c r="C128" s="2">
        <f>SUBTOTAL(109,Sonstige_Variable_Kosten[Januar])</f>
        <v>0</v>
      </c>
      <c r="D128" s="2">
        <f>SUBTOTAL(109,Sonstige_Variable_Kosten[Februar])</f>
        <v>0</v>
      </c>
      <c r="E128" s="2">
        <f>SUBTOTAL(109,Sonstige_Variable_Kosten[März])</f>
        <v>0</v>
      </c>
      <c r="F128" s="2">
        <f>SUBTOTAL(109,Sonstige_Variable_Kosten[April])</f>
        <v>0</v>
      </c>
      <c r="G128" s="2">
        <f>SUBTOTAL(109,Sonstige_Variable_Kosten[Mai])</f>
        <v>0</v>
      </c>
      <c r="H128" s="2">
        <f>SUBTOTAL(109,Sonstige_Variable_Kosten[Juni])</f>
        <v>0</v>
      </c>
      <c r="I128" s="2">
        <f>SUBTOTAL(109,Sonstige_Variable_Kosten[Juli])</f>
        <v>0</v>
      </c>
      <c r="J128" s="2">
        <f>SUBTOTAL(109,Sonstige_Variable_Kosten[August])</f>
        <v>0</v>
      </c>
      <c r="K128" s="2">
        <f>SUBTOTAL(109,Sonstige_Variable_Kosten[September])</f>
        <v>0</v>
      </c>
      <c r="L128" s="2">
        <f>SUBTOTAL(109,Sonstige_Variable_Kosten[Oktober])</f>
        <v>0</v>
      </c>
      <c r="M128" s="2">
        <f>SUBTOTAL(109,Sonstige_Variable_Kosten[November])</f>
        <v>0</v>
      </c>
      <c r="N128" s="2">
        <f>SUBTOTAL(109,Sonstige_Variable_Kosten[Dezember])</f>
        <v>0</v>
      </c>
      <c r="O128" s="2">
        <f>SUBTOTAL(109,Sonstige_Variable_Kosten[Gesamt])</f>
        <v>0</v>
      </c>
      <c r="P128" s="43" t="e">
        <f>O128/$O$138</f>
        <v>#DIV/0!</v>
      </c>
      <c r="Q128" s="43"/>
      <c r="R128" s="14"/>
      <c r="S128" s="17"/>
      <c r="T128" s="17"/>
      <c r="U128" s="20"/>
      <c r="V128" s="16" t="str">
        <f t="shared" si="8"/>
        <v/>
      </c>
    </row>
    <row r="129" spans="2:22" ht="15.75" thickTop="1" x14ac:dyDescent="0.25">
      <c r="B129" s="56" t="s">
        <v>100</v>
      </c>
      <c r="C129" s="57">
        <f>IFERROR(AVERAGEIF(Sonstige_Variable_Kosten[Januar],"&lt;&gt;0"),0)</f>
        <v>0</v>
      </c>
      <c r="D129" s="57">
        <f>IFERROR(AVERAGEIF(Sonstige_Variable_Kosten[Februar],"&lt;&gt;0"),0)</f>
        <v>0</v>
      </c>
      <c r="E129" s="57">
        <f>IFERROR(AVERAGEIF(Sonstige_Variable_Kosten[März],"&lt;&gt;0"),0)</f>
        <v>0</v>
      </c>
      <c r="F129" s="57">
        <f>IFERROR(AVERAGEIF(Sonstige_Variable_Kosten[April],"&lt;&gt;0"),0)</f>
        <v>0</v>
      </c>
      <c r="G129" s="57">
        <f>IFERROR(AVERAGEIF(Sonstige_Variable_Kosten[Mai],"&lt;&gt;0"),0)</f>
        <v>0</v>
      </c>
      <c r="H129" s="57">
        <f>IFERROR(AVERAGEIF(Sonstige_Variable_Kosten[Juni],"&lt;&gt;0"),0)</f>
        <v>0</v>
      </c>
      <c r="I129" s="57">
        <f>IFERROR(AVERAGEIF(Sonstige_Variable_Kosten[Juli],"&lt;&gt;0"),0)</f>
        <v>0</v>
      </c>
      <c r="J129" s="57">
        <f>IFERROR(AVERAGEIF(Sonstige_Variable_Kosten[August],"&lt;&gt;0"),0)</f>
        <v>0</v>
      </c>
      <c r="K129" s="57">
        <f>IFERROR(AVERAGEIF(Sonstige_Variable_Kosten[September],"&lt;&gt;0"),0)</f>
        <v>0</v>
      </c>
      <c r="L129" s="57">
        <f>IFERROR(AVERAGEIF(Sonstige_Variable_Kosten[Oktober],"&lt;&gt;0"),0)</f>
        <v>0</v>
      </c>
      <c r="M129" s="57">
        <f>IFERROR(AVERAGEIF(Sonstige_Variable_Kosten[November],"&lt;&gt;0"),0)</f>
        <v>0</v>
      </c>
      <c r="N129" s="57">
        <f>IFERROR(AVERAGEIF(Sonstige_Variable_Kosten[Dezember],"&lt;&gt;0"),0)</f>
        <v>0</v>
      </c>
      <c r="O129" s="57">
        <f>IFERROR(AVERAGEIF(Sonstige_Variable_Kosten[Gesamt],"&lt;&gt;0"),0)</f>
        <v>0</v>
      </c>
      <c r="P129" s="58" t="e">
        <f>O129/$O$138</f>
        <v>#DIV/0!</v>
      </c>
      <c r="R129" s="14"/>
      <c r="S129" s="17"/>
      <c r="T129" s="17"/>
      <c r="U129" s="20"/>
      <c r="V129" s="16" t="str">
        <f t="shared" si="8"/>
        <v/>
      </c>
    </row>
    <row r="130" spans="2:22" x14ac:dyDescent="0.25">
      <c r="R130" s="14"/>
      <c r="S130" s="17"/>
      <c r="T130" s="17"/>
      <c r="U130" s="20"/>
      <c r="V130" s="16"/>
    </row>
    <row r="131" spans="2:22" x14ac:dyDescent="0.25">
      <c r="R131" s="14"/>
      <c r="S131" s="17"/>
      <c r="T131" s="17"/>
      <c r="U131" s="20"/>
      <c r="V131" s="16"/>
    </row>
    <row r="132" spans="2:22" x14ac:dyDescent="0.25">
      <c r="R132" s="14"/>
      <c r="S132" s="17"/>
      <c r="T132" s="17"/>
      <c r="U132" s="20"/>
      <c r="V132" s="16" t="str">
        <f t="shared" si="8"/>
        <v/>
      </c>
    </row>
    <row r="133" spans="2:22" ht="26.25" x14ac:dyDescent="0.4">
      <c r="B133" s="59" t="s">
        <v>118</v>
      </c>
      <c r="R133" s="14"/>
      <c r="S133" s="17"/>
      <c r="T133" s="17"/>
      <c r="U133" s="20"/>
      <c r="V133" s="16" t="str">
        <f t="shared" si="8"/>
        <v/>
      </c>
    </row>
    <row r="134" spans="2:22" ht="15" customHeight="1" thickBot="1" x14ac:dyDescent="0.45">
      <c r="B134" s="30"/>
      <c r="R134" s="14"/>
      <c r="S134" s="17"/>
      <c r="T134" s="17"/>
      <c r="U134" s="20"/>
      <c r="V134" s="16"/>
    </row>
    <row r="135" spans="2:22" ht="15.75" thickTop="1" x14ac:dyDescent="0.25">
      <c r="B135" s="4" t="s">
        <v>13</v>
      </c>
      <c r="C135" s="5">
        <f>Einnahmen[[#Totals],[Januar]]</f>
        <v>0</v>
      </c>
      <c r="D135" s="5">
        <f>Einnahmen[[#Totals],[Februar]]</f>
        <v>0</v>
      </c>
      <c r="E135" s="5">
        <f>Einnahmen[[#Totals],[März]]</f>
        <v>0</v>
      </c>
      <c r="F135" s="5">
        <f>Einnahmen[[#Totals],[April]]</f>
        <v>0</v>
      </c>
      <c r="G135" s="5">
        <f>Einnahmen[[#Totals],[Mai]]</f>
        <v>0</v>
      </c>
      <c r="H135" s="5">
        <f>Einnahmen[[#Totals],[Juni]]</f>
        <v>0</v>
      </c>
      <c r="I135" s="5">
        <f>Einnahmen[[#Totals],[Juli]]</f>
        <v>0</v>
      </c>
      <c r="J135" s="5">
        <f>Einnahmen[[#Totals],[August]]</f>
        <v>0</v>
      </c>
      <c r="K135" s="5">
        <f>Einnahmen[[#Totals],[September]]</f>
        <v>0</v>
      </c>
      <c r="L135" s="5">
        <f>Einnahmen[[#Totals],[Oktober]]</f>
        <v>0</v>
      </c>
      <c r="M135" s="5">
        <f>Einnahmen[[#Totals],[November]]</f>
        <v>0</v>
      </c>
      <c r="N135" s="5">
        <f>Einnahmen[[#Totals],[Dezember]]</f>
        <v>0</v>
      </c>
      <c r="O135" s="35">
        <f>Einnahmen[[#Totals],[Gesamt]]</f>
        <v>0</v>
      </c>
      <c r="R135" s="14"/>
      <c r="S135" s="17"/>
      <c r="T135" s="17"/>
      <c r="U135" s="20"/>
      <c r="V135" s="16" t="str">
        <f t="shared" si="8"/>
        <v/>
      </c>
    </row>
    <row r="136" spans="2:22" ht="15.75" thickBot="1" x14ac:dyDescent="0.3">
      <c r="B136" s="31" t="s">
        <v>23</v>
      </c>
      <c r="C136" s="32">
        <f>Wohnen[[#Totals],[Januar]]+Versicherungen[[#Totals],[Januar]]+Investments[[#Totals],[Januar]]+Finanzierungen[[#Totals],[Januar]]+Sonstige_Fixkosten[[#Totals],[Januar]]</f>
        <v>0</v>
      </c>
      <c r="D136" s="32">
        <f>Wohnen[[#Totals],[Februar]]+Versicherungen[[#Totals],[Februar]]+Investments[[#Totals],[Februar]]+Finanzierungen[[#Totals],[Februar]]+Sonstige_Fixkosten[[#Totals],[Februar]]</f>
        <v>0</v>
      </c>
      <c r="E136" s="32">
        <f>Wohnen[[#Totals],[März]]+Versicherungen[[#Totals],[März]]+Investments[[#Totals],[März]]+Finanzierungen[[#Totals],[März]]+Sonstige_Fixkosten[[#Totals],[März]]</f>
        <v>0</v>
      </c>
      <c r="F136" s="32">
        <f>Wohnen[[#Totals],[April]]+Versicherungen[[#Totals],[April]]+Investments[[#Totals],[April]]+Finanzierungen[[#Totals],[April]]+Sonstige_Fixkosten[[#Totals],[April]]</f>
        <v>0</v>
      </c>
      <c r="G136" s="32">
        <f>Wohnen[[#Totals],[Mai]]+Versicherungen[[#Totals],[Mai]]+Investments[[#Totals],[Mai]]+Finanzierungen[[#Totals],[Mai]]+Sonstige_Fixkosten[[#Totals],[Mai]]</f>
        <v>0</v>
      </c>
      <c r="H136" s="32">
        <f>Wohnen[[#Totals],[Juni]]+Versicherungen[[#Totals],[Juni]]+Investments[[#Totals],[Juni]]+Finanzierungen[[#Totals],[Juni]]+Sonstige_Fixkosten[[#Totals],[Juni]]</f>
        <v>0</v>
      </c>
      <c r="I136" s="32">
        <f>Wohnen[[#Totals],[Juli]]+Versicherungen[[#Totals],[Juli]]+Investments[[#Totals],[Juli]]+Finanzierungen[[#Totals],[Juli]]+Sonstige_Fixkosten[[#Totals],[Juli]]</f>
        <v>0</v>
      </c>
      <c r="J136" s="32">
        <f>Wohnen[[#Totals],[August]]+Versicherungen[[#Totals],[August]]+Investments[[#Totals],[August]]+Finanzierungen[[#Totals],[August]]+Sonstige_Fixkosten[[#Totals],[August]]</f>
        <v>0</v>
      </c>
      <c r="K136" s="32">
        <f>Wohnen[[#Totals],[September]]+Versicherungen[[#Totals],[September]]+Investments[[#Totals],[September]]+Finanzierungen[[#Totals],[September]]+Sonstige_Fixkosten[[#Totals],[September]]</f>
        <v>0</v>
      </c>
      <c r="L136" s="32">
        <f>Wohnen[[#Totals],[Oktober]]+Versicherungen[[#Totals],[Oktober]]+Investments[[#Totals],[Oktober]]+Finanzierungen[[#Totals],[Oktober]]+Sonstige_Fixkosten[[#Totals],[Oktober]]</f>
        <v>0</v>
      </c>
      <c r="M136" s="32">
        <f>Wohnen[[#Totals],[November]]+Versicherungen[[#Totals],[November]]+Investments[[#Totals],[November]]+Finanzierungen[[#Totals],[November]]+Sonstige_Fixkosten[[#Totals],[November]]</f>
        <v>0</v>
      </c>
      <c r="N136" s="32">
        <f>Wohnen[[#Totals],[Dezember]]+Versicherungen[[#Totals],[Dezember]]+Investments[[#Totals],[Dezember]]+Finanzierungen[[#Totals],[Dezember]]+Sonstige_Fixkosten[[#Totals],[Dezember]]</f>
        <v>0</v>
      </c>
      <c r="O136" s="36">
        <f>Wohnen[[#Totals],[Gesamt]]+Versicherungen[[#Totals],[Gesamt]]+Investments[[#Totals],[Gesamt]]+Finanzierungen[[#Totals],[Gesamt]]+Sonstige_Fixkosten[[#Totals],[Gesamt]]</f>
        <v>0</v>
      </c>
      <c r="P136" s="41" t="e">
        <f>O136/$O$138</f>
        <v>#DIV/0!</v>
      </c>
      <c r="R136" s="14"/>
      <c r="S136" s="17"/>
      <c r="T136" s="17"/>
      <c r="U136" s="20"/>
      <c r="V136" s="16" t="str">
        <f t="shared" si="8"/>
        <v/>
      </c>
    </row>
    <row r="137" spans="2:22" ht="16.5" thickTop="1" thickBot="1" x14ac:dyDescent="0.3">
      <c r="B137" s="51" t="s">
        <v>70</v>
      </c>
      <c r="C137" s="52">
        <f>Lebenshaltung[[#Totals],[Januar]]+Mobilität[[#Totals],[Januar]]+Entertainment[[#Totals],[Januar]]+Sonstige_Variable_Kosten[[#Totals],[Januar]]</f>
        <v>0</v>
      </c>
      <c r="D137" s="52">
        <f>Lebenshaltung[[#Totals],[Februar]]+Mobilität[[#Totals],[Februar]]+Entertainment[[#Totals],[Februar]]+Sonstige_Variable_Kosten[[#Totals],[Februar]]</f>
        <v>0</v>
      </c>
      <c r="E137" s="52">
        <f>Lebenshaltung[[#Totals],[März]]+Mobilität[[#Totals],[März]]+Entertainment[[#Totals],[März]]+Sonstige_Variable_Kosten[[#Totals],[März]]</f>
        <v>0</v>
      </c>
      <c r="F137" s="52">
        <f>Lebenshaltung[[#Totals],[April]]+Mobilität[[#Totals],[April]]+Entertainment[[#Totals],[April]]+Sonstige_Variable_Kosten[[#Totals],[April]]</f>
        <v>0</v>
      </c>
      <c r="G137" s="52">
        <f>Lebenshaltung[[#Totals],[Mai]]+Mobilität[[#Totals],[Mai]]+Entertainment[[#Totals],[Mai]]+Sonstige_Variable_Kosten[[#Totals],[Mai]]</f>
        <v>0</v>
      </c>
      <c r="H137" s="52">
        <f>Lebenshaltung[[#Totals],[Juni]]+Mobilität[[#Totals],[Juni]]+Entertainment[[#Totals],[Juni]]+Sonstige_Variable_Kosten[[#Totals],[Juni]]</f>
        <v>0</v>
      </c>
      <c r="I137" s="52">
        <f>Lebenshaltung[[#Totals],[Juli]]+Mobilität[[#Totals],[Juli]]+Entertainment[[#Totals],[Juli]]+Sonstige_Variable_Kosten[[#Totals],[Juli]]</f>
        <v>0</v>
      </c>
      <c r="J137" s="52">
        <f>Lebenshaltung[[#Totals],[August]]+Mobilität[[#Totals],[August]]+Entertainment[[#Totals],[August]]+Sonstige_Variable_Kosten[[#Totals],[August]]</f>
        <v>0</v>
      </c>
      <c r="K137" s="52">
        <f>Lebenshaltung[[#Totals],[September]]+Mobilität[[#Totals],[September]]+Entertainment[[#Totals],[September]]+Sonstige_Variable_Kosten[[#Totals],[September]]</f>
        <v>0</v>
      </c>
      <c r="L137" s="52">
        <f>Lebenshaltung[[#Totals],[Oktober]]+Mobilität[[#Totals],[Oktober]]+Entertainment[[#Totals],[Oktober]]+Sonstige_Variable_Kosten[[#Totals],[Oktober]]</f>
        <v>0</v>
      </c>
      <c r="M137" s="52">
        <f>Lebenshaltung[[#Totals],[November]]+Mobilität[[#Totals],[November]]+Entertainment[[#Totals],[November]]+Sonstige_Variable_Kosten[[#Totals],[November]]</f>
        <v>0</v>
      </c>
      <c r="N137" s="52">
        <f>Lebenshaltung[[#Totals],[Dezember]]+Mobilität[[#Totals],[Dezember]]+Entertainment[[#Totals],[Dezember]]+Sonstige_Variable_Kosten[[#Totals],[Dezember]]</f>
        <v>0</v>
      </c>
      <c r="O137" s="53">
        <f>Lebenshaltung[[#Totals],[Gesamt]]+Mobilität[[#Totals],[Gesamt]]+Entertainment[[#Totals],[Gesamt]]+Sonstige_Variable_Kosten[[#Totals],[Gesamt]]</f>
        <v>0</v>
      </c>
      <c r="P137" s="54" t="e">
        <f>O137/$O$138</f>
        <v>#DIV/0!</v>
      </c>
      <c r="R137" s="14"/>
      <c r="S137" s="17"/>
      <c r="T137" s="17"/>
      <c r="U137" s="20"/>
      <c r="V137" s="16" t="str">
        <f t="shared" si="8"/>
        <v/>
      </c>
    </row>
    <row r="138" spans="2:22" ht="16.5" thickTop="1" thickBot="1" x14ac:dyDescent="0.3">
      <c r="B138" s="48" t="s">
        <v>104</v>
      </c>
      <c r="C138" s="49">
        <f>SUM(C136:C137)</f>
        <v>0</v>
      </c>
      <c r="D138" s="49">
        <f t="shared" ref="D138:O138" si="12">SUM(D136:D137)</f>
        <v>0</v>
      </c>
      <c r="E138" s="49">
        <f t="shared" si="12"/>
        <v>0</v>
      </c>
      <c r="F138" s="49">
        <f t="shared" si="12"/>
        <v>0</v>
      </c>
      <c r="G138" s="49">
        <f t="shared" si="12"/>
        <v>0</v>
      </c>
      <c r="H138" s="49">
        <f t="shared" si="12"/>
        <v>0</v>
      </c>
      <c r="I138" s="49">
        <f t="shared" si="12"/>
        <v>0</v>
      </c>
      <c r="J138" s="49">
        <f t="shared" si="12"/>
        <v>0</v>
      </c>
      <c r="K138" s="49">
        <f t="shared" si="12"/>
        <v>0</v>
      </c>
      <c r="L138" s="49">
        <f t="shared" si="12"/>
        <v>0</v>
      </c>
      <c r="M138" s="49">
        <f t="shared" si="12"/>
        <v>0</v>
      </c>
      <c r="N138" s="49">
        <f t="shared" si="12"/>
        <v>0</v>
      </c>
      <c r="O138" s="50">
        <f t="shared" si="12"/>
        <v>0</v>
      </c>
      <c r="R138" s="14"/>
      <c r="S138" s="17"/>
      <c r="T138" s="17"/>
      <c r="U138" s="20"/>
      <c r="V138" s="16"/>
    </row>
    <row r="139" spans="2:22" ht="16.5" thickTop="1" thickBot="1" x14ac:dyDescent="0.3">
      <c r="B139" s="3"/>
      <c r="O139" s="37"/>
      <c r="R139" s="14"/>
      <c r="S139" s="17"/>
      <c r="T139" s="17"/>
      <c r="U139" s="20"/>
      <c r="V139" s="16" t="str">
        <f t="shared" si="8"/>
        <v/>
      </c>
    </row>
    <row r="140" spans="2:22" ht="16.5" thickTop="1" thickBot="1" x14ac:dyDescent="0.3">
      <c r="B140" s="6" t="s">
        <v>93</v>
      </c>
      <c r="C140" s="7">
        <f>C135-C138</f>
        <v>0</v>
      </c>
      <c r="D140" s="7">
        <f t="shared" ref="D140:O140" si="13">D135-D138</f>
        <v>0</v>
      </c>
      <c r="E140" s="7">
        <f t="shared" si="13"/>
        <v>0</v>
      </c>
      <c r="F140" s="7">
        <f t="shared" si="13"/>
        <v>0</v>
      </c>
      <c r="G140" s="7">
        <f t="shared" si="13"/>
        <v>0</v>
      </c>
      <c r="H140" s="7">
        <f t="shared" si="13"/>
        <v>0</v>
      </c>
      <c r="I140" s="7">
        <f t="shared" si="13"/>
        <v>0</v>
      </c>
      <c r="J140" s="7">
        <f t="shared" si="13"/>
        <v>0</v>
      </c>
      <c r="K140" s="7">
        <f t="shared" si="13"/>
        <v>0</v>
      </c>
      <c r="L140" s="7">
        <f t="shared" si="13"/>
        <v>0</v>
      </c>
      <c r="M140" s="7">
        <f t="shared" si="13"/>
        <v>0</v>
      </c>
      <c r="N140" s="7">
        <f t="shared" si="13"/>
        <v>0</v>
      </c>
      <c r="O140" s="38">
        <f t="shared" si="13"/>
        <v>0</v>
      </c>
      <c r="R140" s="14"/>
      <c r="S140" s="17"/>
      <c r="T140" s="17"/>
      <c r="U140" s="20"/>
      <c r="V140" s="16" t="str">
        <f t="shared" si="8"/>
        <v/>
      </c>
    </row>
    <row r="141" spans="2:22" ht="16.5" thickTop="1" thickBot="1" x14ac:dyDescent="0.3">
      <c r="B141" s="8" t="s">
        <v>45</v>
      </c>
      <c r="C141" s="9">
        <f>C140+Investments[[#Totals],[Januar]]</f>
        <v>0</v>
      </c>
      <c r="D141" s="9">
        <f>D140+Investments[[#Totals],[Februar]]</f>
        <v>0</v>
      </c>
      <c r="E141" s="9">
        <f>E140+Investments[[#Totals],[März]]</f>
        <v>0</v>
      </c>
      <c r="F141" s="9">
        <f>F140+Investments[[#Totals],[April]]</f>
        <v>0</v>
      </c>
      <c r="G141" s="9">
        <f>G140+Investments[[#Totals],[Mai]]</f>
        <v>0</v>
      </c>
      <c r="H141" s="9">
        <f>H140+Investments[[#Totals],[Juni]]</f>
        <v>0</v>
      </c>
      <c r="I141" s="9">
        <f>I140+Investments[[#Totals],[Juli]]</f>
        <v>0</v>
      </c>
      <c r="J141" s="9">
        <f>J140+Investments[[#Totals],[August]]</f>
        <v>0</v>
      </c>
      <c r="K141" s="9">
        <f>K140+Investments[[#Totals],[September]]</f>
        <v>0</v>
      </c>
      <c r="L141" s="9">
        <f>L140+Investments[[#Totals],[Oktober]]</f>
        <v>0</v>
      </c>
      <c r="M141" s="9">
        <f>M140+Investments[[#Totals],[November]]</f>
        <v>0</v>
      </c>
      <c r="N141" s="9">
        <f>N140+Investments[[#Totals],[Dezember]]</f>
        <v>0</v>
      </c>
      <c r="O141" s="39">
        <f>O140+Investments[[#Totals],[Gesamt]]</f>
        <v>0</v>
      </c>
      <c r="R141" s="14"/>
      <c r="S141" s="17"/>
      <c r="T141" s="17"/>
      <c r="U141" s="20"/>
      <c r="V141" s="16" t="str">
        <f t="shared" si="8"/>
        <v/>
      </c>
    </row>
    <row r="142" spans="2:22" ht="15.75" thickTop="1" x14ac:dyDescent="0.25">
      <c r="B142" s="8" t="s">
        <v>101</v>
      </c>
      <c r="C142" s="33">
        <f t="shared" ref="C142:O142" si="14">IFERROR(C141/C135,0)</f>
        <v>0</v>
      </c>
      <c r="D142" s="33">
        <f t="shared" si="14"/>
        <v>0</v>
      </c>
      <c r="E142" s="33">
        <f t="shared" si="14"/>
        <v>0</v>
      </c>
      <c r="F142" s="33">
        <f t="shared" si="14"/>
        <v>0</v>
      </c>
      <c r="G142" s="33">
        <f t="shared" si="14"/>
        <v>0</v>
      </c>
      <c r="H142" s="33">
        <f t="shared" si="14"/>
        <v>0</v>
      </c>
      <c r="I142" s="33">
        <f t="shared" si="14"/>
        <v>0</v>
      </c>
      <c r="J142" s="33">
        <f t="shared" si="14"/>
        <v>0</v>
      </c>
      <c r="K142" s="33">
        <f t="shared" si="14"/>
        <v>0</v>
      </c>
      <c r="L142" s="33">
        <f t="shared" si="14"/>
        <v>0</v>
      </c>
      <c r="M142" s="33">
        <f t="shared" si="14"/>
        <v>0</v>
      </c>
      <c r="N142" s="33">
        <f t="shared" si="14"/>
        <v>0</v>
      </c>
      <c r="O142" s="33">
        <f t="shared" si="14"/>
        <v>0</v>
      </c>
      <c r="R142" s="14"/>
      <c r="S142" s="17"/>
      <c r="T142" s="17"/>
      <c r="U142" s="20"/>
      <c r="V142" s="16" t="str">
        <f t="shared" si="8"/>
        <v/>
      </c>
    </row>
    <row r="145" spans="2:5" x14ac:dyDescent="0.25">
      <c r="B145" t="s">
        <v>116</v>
      </c>
      <c r="C145" t="s">
        <v>113</v>
      </c>
      <c r="D145" t="s">
        <v>114</v>
      </c>
      <c r="E145" t="s">
        <v>115</v>
      </c>
    </row>
    <row r="146" spans="2:5" x14ac:dyDescent="0.25">
      <c r="B146" s="1" t="s">
        <v>107</v>
      </c>
      <c r="C146" s="37">
        <f>Wohnen[[#Totals],[Gesamt]]+Versicherungen[[#Totals],[Gesamt]]+Finanzierungen[[#Totals],[Gesamt]]+Sonstige_Fixkosten[[#Totals],[Gesamt]]+Lebenshaltung[[#Totals],[Gesamt]]+Mobilität[[#Totals],[Gesamt]]</f>
        <v>0</v>
      </c>
      <c r="D146" s="34" t="e">
        <f>C146/$O$135</f>
        <v>#DIV/0!</v>
      </c>
      <c r="E146" s="34">
        <v>0.5</v>
      </c>
    </row>
    <row r="147" spans="2:5" x14ac:dyDescent="0.25">
      <c r="B147" s="1" t="s">
        <v>106</v>
      </c>
      <c r="C147" s="37">
        <f>Entertainment[[#Totals],[Gesamt]]+Sonstige_Variable_Kosten[[#Totals],[Gesamt]]</f>
        <v>0</v>
      </c>
      <c r="D147" s="34" t="e">
        <f>C147/$O$135</f>
        <v>#DIV/0!</v>
      </c>
      <c r="E147" s="34">
        <v>0.25</v>
      </c>
    </row>
    <row r="148" spans="2:5" x14ac:dyDescent="0.25">
      <c r="B148" s="1" t="s">
        <v>105</v>
      </c>
      <c r="C148" s="37">
        <f>Investments[[#Totals],[Gesamt]]</f>
        <v>0</v>
      </c>
      <c r="D148" s="34" t="e">
        <f>C148/$O$135</f>
        <v>#DIV/0!</v>
      </c>
      <c r="E148" s="34">
        <v>0.15</v>
      </c>
    </row>
    <row r="149" spans="2:5" x14ac:dyDescent="0.25">
      <c r="B149" s="1" t="s">
        <v>108</v>
      </c>
      <c r="C149" s="37">
        <f>Investments13[[#Totals],[Gesamt]]</f>
        <v>0</v>
      </c>
      <c r="D149" s="34" t="e">
        <f>C149/$O$135</f>
        <v>#DIV/0!</v>
      </c>
      <c r="E149" s="34">
        <v>0.1</v>
      </c>
    </row>
    <row r="150" spans="2:5" x14ac:dyDescent="0.25">
      <c r="B150" t="s">
        <v>117</v>
      </c>
      <c r="C150" s="37">
        <f>SUBTOTAL(109,Tabelle11[Wert])</f>
        <v>0</v>
      </c>
      <c r="D150" s="34" t="e">
        <f>SUBTOTAL(109,Tabelle11[Aktuell %])</f>
        <v>#DIV/0!</v>
      </c>
      <c r="E150" s="34">
        <f>SUBTOTAL(109,Tabelle11[Empfohlen %])</f>
        <v>1</v>
      </c>
    </row>
  </sheetData>
  <mergeCells count="1">
    <mergeCell ref="B1:O2"/>
  </mergeCells>
  <conditionalFormatting sqref="C141:O141">
    <cfRule type="expression" dxfId="305" priority="2">
      <formula>IF(C141&lt;0,TRUE,FALSE)</formula>
    </cfRule>
  </conditionalFormatting>
  <conditionalFormatting sqref="C140:O140">
    <cfRule type="expression" dxfId="304" priority="1">
      <formula>IF(C140&lt;0,TRUE,FALSE)</formula>
    </cfRule>
  </conditionalFormatting>
  <hyperlinks>
    <hyperlink ref="B3" r:id="rId1" xr:uid="{5A96BDB4-E479-4BAE-86B9-8BBA43F048BE}"/>
  </hyperlinks>
  <pageMargins left="0.7" right="0.7" top="0.78740157499999996" bottom="0.78740157499999996" header="0.3" footer="0.3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Dashboard</vt:lpstr>
      <vt:lpstr>Haushaltsbuch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fAInance</dc:creator>
  <cp:lastModifiedBy>Tobias Rösner</cp:lastModifiedBy>
  <dcterms:created xsi:type="dcterms:W3CDTF">2025-11-21T10:16:03Z</dcterms:created>
  <dcterms:modified xsi:type="dcterms:W3CDTF">2025-11-29T11:58:30Z</dcterms:modified>
</cp:coreProperties>
</file>